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ate1904="1"/>
  <mc:AlternateContent xmlns:mc="http://schemas.openxmlformats.org/markup-compatibility/2006">
    <mc:Choice Requires="x15">
      <x15ac:absPath xmlns:x15ac="http://schemas.microsoft.com/office/spreadsheetml/2010/11/ac" url="/Users/krosj 1/Documents/TferFromiMac/ECU/DSCI4743/"/>
    </mc:Choice>
  </mc:AlternateContent>
  <xr:revisionPtr revIDLastSave="0" documentId="13_ncr:1_{BF9042B9-DD79-8F4B-8EAA-C38E8C21C4C6}" xr6:coauthVersionLast="45" xr6:coauthVersionMax="45" xr10:uidLastSave="{00000000-0000-0000-0000-000000000000}"/>
  <bookViews>
    <workbookView xWindow="1680" yWindow="460" windowWidth="25020" windowHeight="16780" tabRatio="700" activeTab="4" xr2:uid="{00000000-000D-0000-FFFF-FFFF00000000}"/>
  </bookViews>
  <sheets>
    <sheet name="Forecast" sheetId="13" r:id="rId1"/>
    <sheet name="APP" sheetId="2" r:id="rId2"/>
    <sheet name="Final APP" sheetId="4" r:id="rId3"/>
    <sheet name="MPS" sheetId="5" r:id="rId4"/>
    <sheet name="MRP NW Grunge" sheetId="6" r:id="rId5"/>
    <sheet name="MRP Deep South" sheetId="7" r:id="rId6"/>
    <sheet name="Finance Report" sheetId="8" r:id="rId7"/>
    <sheet name="Johnson" sheetId="11" r:id="rId8"/>
    <sheet name="Johnson_Gantt" sheetId="12" r:id="rId9"/>
  </sheets>
  <externalReferences>
    <externalReference r:id="rId10"/>
  </externalReferences>
  <definedNames>
    <definedName name="_xlnm.Print_Area" localSheetId="4">'MRP NW Grunge'!$A$1:$O$73</definedName>
    <definedName name="solver_adj" localSheetId="1" hidden="1">APP!$C$38:$C$41</definedName>
    <definedName name="solver_adj" localSheetId="2" hidden="1">'Final APP'!#REF!</definedName>
    <definedName name="solver_cvg" localSheetId="1" hidden="1">0.0001</definedName>
    <definedName name="solver_cvg" localSheetId="2" hidden="1">0.0001</definedName>
    <definedName name="solver_drv" localSheetId="1" hidden="1">1</definedName>
    <definedName name="solver_drv" localSheetId="2" hidden="1">1</definedName>
    <definedName name="solver_est" localSheetId="1" hidden="1">1</definedName>
    <definedName name="solver_est" localSheetId="2" hidden="1">1</definedName>
    <definedName name="solver_itr" localSheetId="1" hidden="1">100</definedName>
    <definedName name="solver_itr" localSheetId="2" hidden="1">100</definedName>
    <definedName name="solver_lhs1" localSheetId="1" hidden="1">APP!#REF!</definedName>
    <definedName name="solver_lhs1" localSheetId="2" hidden="1">'Final APP'!#REF!</definedName>
    <definedName name="solver_lhs2" localSheetId="1" hidden="1">APP!$C$38</definedName>
    <definedName name="solver_lhs2" localSheetId="2" hidden="1">'Final APP'!#REF!</definedName>
    <definedName name="solver_lhs3" localSheetId="1" hidden="1">APP!$I$38:$I$41</definedName>
    <definedName name="solver_lhs3" localSheetId="2" hidden="1">'Final APP'!#REF!</definedName>
    <definedName name="solver_lhs4" localSheetId="1" hidden="1">APP!$C$38:$C$41</definedName>
    <definedName name="solver_lhs4" localSheetId="2" hidden="1">'Final APP'!#REF!</definedName>
    <definedName name="solver_lhs5" localSheetId="1" hidden="1">APP!#REF!</definedName>
    <definedName name="solver_lhs5" localSheetId="2" hidden="1">'Final APP'!#REF!</definedName>
    <definedName name="solver_lhs6" localSheetId="1" hidden="1">APP!$C$38:$C$41</definedName>
    <definedName name="solver_lhs6" localSheetId="2" hidden="1">'Final APP'!#REF!</definedName>
    <definedName name="solver_lhs7" localSheetId="1" hidden="1">APP!$C$38:$C$41</definedName>
    <definedName name="solver_lhs7" localSheetId="2" hidden="1">'Final APP'!#REF!</definedName>
    <definedName name="solver_lhs8" localSheetId="1" hidden="1">APP!$C$38</definedName>
    <definedName name="solver_lin" localSheetId="1" hidden="1">2</definedName>
    <definedName name="solver_lin" localSheetId="2" hidden="1">2</definedName>
    <definedName name="solver_neg" localSheetId="1" hidden="1">1</definedName>
    <definedName name="solver_neg" localSheetId="2" hidden="1">2</definedName>
    <definedName name="solver_num" localSheetId="1" hidden="1">4</definedName>
    <definedName name="solver_num" localSheetId="2" hidden="1">7</definedName>
    <definedName name="solver_nwt" localSheetId="1" hidden="1">1</definedName>
    <definedName name="solver_nwt" localSheetId="2" hidden="1">1</definedName>
    <definedName name="solver_opt" localSheetId="1" hidden="1">APP!#REF!</definedName>
    <definedName name="solver_opt" localSheetId="2" hidden="1">'Final APP'!#REF!</definedName>
    <definedName name="solver_pre" localSheetId="1" hidden="1">0.000001</definedName>
    <definedName name="solver_pre" localSheetId="2" hidden="1">0.000001</definedName>
    <definedName name="solver_rel1" localSheetId="1" hidden="1">3</definedName>
    <definedName name="solver_rel1" localSheetId="2" hidden="1">3</definedName>
    <definedName name="solver_rel2" localSheetId="1" hidden="1">3</definedName>
    <definedName name="solver_rel2" localSheetId="2" hidden="1">2</definedName>
    <definedName name="solver_rel3" localSheetId="1" hidden="1">3</definedName>
    <definedName name="solver_rel3" localSheetId="2" hidden="1">3</definedName>
    <definedName name="solver_rel4" localSheetId="1" hidden="1">3</definedName>
    <definedName name="solver_rel4" localSheetId="2" hidden="1">3</definedName>
    <definedName name="solver_rel5" localSheetId="1" hidden="1">3</definedName>
    <definedName name="solver_rel5" localSheetId="2" hidden="1">4</definedName>
    <definedName name="solver_rel6" localSheetId="1" hidden="1">3</definedName>
    <definedName name="solver_rel6" localSheetId="2" hidden="1">4</definedName>
    <definedName name="solver_rel7" localSheetId="1" hidden="1">4</definedName>
    <definedName name="solver_rel7" localSheetId="2" hidden="1">3</definedName>
    <definedName name="solver_rel8" localSheetId="1" hidden="1">4</definedName>
    <definedName name="solver_rhs1" localSheetId="1" hidden="1">0</definedName>
    <definedName name="solver_rhs1" localSheetId="2" hidden="1">'Final APP'!#REF!</definedName>
    <definedName name="solver_rhs2" localSheetId="1" hidden="1">APP!$B$38</definedName>
    <definedName name="solver_rhs2" localSheetId="2" hidden="1">'Final APP'!#REF!</definedName>
    <definedName name="solver_rhs3" localSheetId="1" hidden="1">0</definedName>
    <definedName name="solver_rhs3" localSheetId="2" hidden="1">0</definedName>
    <definedName name="solver_rhs4" localSheetId="1" hidden="1">0</definedName>
    <definedName name="solver_rhs4" localSheetId="2" hidden="1">1000</definedName>
    <definedName name="solver_rhs5" localSheetId="1" hidden="1">APP!#REF!</definedName>
    <definedName name="solver_rhs5" localSheetId="2" hidden="1">integer</definedName>
    <definedName name="solver_rhs6" localSheetId="1" hidden="1">0</definedName>
    <definedName name="solver_rhs6" localSheetId="2" hidden="1">integer</definedName>
    <definedName name="solver_rhs7" localSheetId="1" hidden="1">integer</definedName>
    <definedName name="solver_rhs7" localSheetId="2" hidden="1">0</definedName>
    <definedName name="solver_rhs8" localSheetId="1" hidden="1">integer</definedName>
    <definedName name="solver_scl" localSheetId="1" hidden="1">2</definedName>
    <definedName name="solver_scl" localSheetId="2" hidden="1">2</definedName>
    <definedName name="solver_sho" localSheetId="1" hidden="1">2</definedName>
    <definedName name="solver_sho" localSheetId="2" hidden="1">2</definedName>
    <definedName name="solver_tim" localSheetId="1" hidden="1">100</definedName>
    <definedName name="solver_tim" localSheetId="2" hidden="1">100</definedName>
    <definedName name="solver_tol" localSheetId="1" hidden="1">0.05</definedName>
    <definedName name="solver_tol" localSheetId="2" hidden="1">0.05</definedName>
    <definedName name="solver_typ" localSheetId="1" hidden="1">2</definedName>
    <definedName name="solver_typ" localSheetId="2" hidden="1">2</definedName>
    <definedName name="solver_val" localSheetId="1" hidden="1">0</definedName>
    <definedName name="solver_val" localSheetId="2" hidde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4" l="1"/>
  <c r="F16" i="4"/>
  <c r="I14" i="4"/>
  <c r="I15" i="4" s="1"/>
  <c r="I13" i="4"/>
  <c r="I12" i="4"/>
  <c r="H12" i="4"/>
  <c r="D13" i="4"/>
  <c r="D14" i="4"/>
  <c r="E14" i="4" s="1"/>
  <c r="D15" i="4"/>
  <c r="D12" i="4"/>
  <c r="B13" i="4"/>
  <c r="B14" i="4"/>
  <c r="B15" i="4"/>
  <c r="B12" i="4"/>
  <c r="E12" i="4"/>
  <c r="C16" i="4"/>
  <c r="E15" i="4"/>
  <c r="E13" i="4"/>
  <c r="B16" i="4"/>
  <c r="J10" i="4"/>
  <c r="C42" i="2"/>
  <c r="G12" i="4" l="1"/>
  <c r="F12" i="4"/>
  <c r="I3" i="6"/>
  <c r="C21" i="5"/>
  <c r="K9" i="5" s="1"/>
  <c r="B9" i="5"/>
  <c r="B11" i="5" s="1"/>
  <c r="C20" i="5"/>
  <c r="E5" i="5" s="1"/>
  <c r="G3" i="6" s="1"/>
  <c r="E8" i="13"/>
  <c r="H8" i="13" s="1"/>
  <c r="E9" i="13"/>
  <c r="H9" i="13" s="1"/>
  <c r="E10" i="13"/>
  <c r="H10" i="13" s="1"/>
  <c r="E11" i="13"/>
  <c r="H11" i="13" s="1"/>
  <c r="E12" i="13"/>
  <c r="H12" i="13" s="1"/>
  <c r="E13" i="13"/>
  <c r="H13" i="13" s="1"/>
  <c r="E14" i="13"/>
  <c r="H14" i="13" s="1"/>
  <c r="E15" i="13"/>
  <c r="E7" i="13"/>
  <c r="H7" i="13" s="1"/>
  <c r="D6" i="13"/>
  <c r="G6" i="13" s="1"/>
  <c r="D7" i="13"/>
  <c r="G7" i="13" s="1"/>
  <c r="D8" i="13"/>
  <c r="G8" i="13" s="1"/>
  <c r="D9" i="13"/>
  <c r="G9" i="13" s="1"/>
  <c r="D10" i="13"/>
  <c r="G10" i="13" s="1"/>
  <c r="D11" i="13"/>
  <c r="G11" i="13" s="1"/>
  <c r="D12" i="13"/>
  <c r="G12" i="13" s="1"/>
  <c r="D13" i="13"/>
  <c r="G13" i="13" s="1"/>
  <c r="D14" i="13"/>
  <c r="G14" i="13" s="1"/>
  <c r="D15" i="13"/>
  <c r="D5" i="13"/>
  <c r="G5" i="13" s="1"/>
  <c r="C4" i="13"/>
  <c r="F4" i="13" s="1"/>
  <c r="C5" i="13"/>
  <c r="F5" i="13" s="1"/>
  <c r="C6" i="13"/>
  <c r="F6" i="13" s="1"/>
  <c r="C7" i="13"/>
  <c r="F7" i="13" s="1"/>
  <c r="C8" i="13"/>
  <c r="F8" i="13" s="1"/>
  <c r="C9" i="13"/>
  <c r="F9" i="13" s="1"/>
  <c r="C10" i="13"/>
  <c r="F10" i="13" s="1"/>
  <c r="C11" i="13"/>
  <c r="F11" i="13" s="1"/>
  <c r="C12" i="13"/>
  <c r="F12" i="13" s="1"/>
  <c r="C13" i="13"/>
  <c r="F13" i="13" s="1"/>
  <c r="C14" i="13"/>
  <c r="F14" i="13" s="1"/>
  <c r="C15" i="13"/>
  <c r="C3" i="13"/>
  <c r="F3" i="13" s="1"/>
  <c r="D3" i="7"/>
  <c r="D6" i="7" s="1"/>
  <c r="D7" i="7" s="1"/>
  <c r="N8" i="6"/>
  <c r="M3" i="7"/>
  <c r="AE41" i="6"/>
  <c r="AF40" i="6" s="1"/>
  <c r="AF39" i="6"/>
  <c r="Y44" i="11"/>
  <c r="D41" i="2"/>
  <c r="E41" i="2" s="1"/>
  <c r="K30" i="12"/>
  <c r="K28" i="12"/>
  <c r="K26" i="12"/>
  <c r="K24" i="12"/>
  <c r="K22" i="12"/>
  <c r="K20" i="12"/>
  <c r="K18" i="12"/>
  <c r="K16" i="12"/>
  <c r="L30" i="12"/>
  <c r="L28" i="12"/>
  <c r="N30" i="12"/>
  <c r="M30" i="12"/>
  <c r="L26" i="12"/>
  <c r="N28" i="12"/>
  <c r="M28" i="12"/>
  <c r="L24" i="12"/>
  <c r="N26" i="12"/>
  <c r="M26" i="12"/>
  <c r="L22" i="12"/>
  <c r="J22" i="12"/>
  <c r="I22" i="12"/>
  <c r="J21" i="12"/>
  <c r="I21" i="12"/>
  <c r="N24" i="12"/>
  <c r="M24" i="12"/>
  <c r="L20" i="12"/>
  <c r="J20" i="12"/>
  <c r="I20" i="12"/>
  <c r="N22" i="12"/>
  <c r="M22" i="12"/>
  <c r="J19" i="12"/>
  <c r="I19" i="12"/>
  <c r="N20" i="12"/>
  <c r="M20" i="12"/>
  <c r="L18" i="12"/>
  <c r="J18" i="12"/>
  <c r="I18" i="12"/>
  <c r="N18" i="12"/>
  <c r="M18" i="12"/>
  <c r="J17" i="12"/>
  <c r="I17" i="12"/>
  <c r="N16" i="12"/>
  <c r="M16" i="12"/>
  <c r="L16" i="12"/>
  <c r="J16" i="12"/>
  <c r="I16" i="12"/>
  <c r="J15" i="12"/>
  <c r="I15" i="12"/>
  <c r="L10" i="12"/>
  <c r="F3" i="12"/>
  <c r="G3" i="12" s="1"/>
  <c r="F14" i="11"/>
  <c r="E15" i="11" s="1"/>
  <c r="F15" i="11" s="1"/>
  <c r="E16" i="11" s="1"/>
  <c r="F16" i="11" s="1"/>
  <c r="E17" i="11" s="1"/>
  <c r="F17" i="11" s="1"/>
  <c r="E18" i="11" s="1"/>
  <c r="F18" i="11" s="1"/>
  <c r="E19" i="11" s="1"/>
  <c r="F19" i="11" s="1"/>
  <c r="E20" i="11" s="1"/>
  <c r="F20" i="11" s="1"/>
  <c r="E21" i="11" s="1"/>
  <c r="F21" i="11" s="1"/>
  <c r="C43" i="11"/>
  <c r="C44" i="11"/>
  <c r="C45" i="11"/>
  <c r="C46" i="11"/>
  <c r="C47" i="11"/>
  <c r="C48" i="11"/>
  <c r="C49" i="11"/>
  <c r="C42" i="11"/>
  <c r="B43" i="11"/>
  <c r="B44" i="11"/>
  <c r="B45" i="11"/>
  <c r="B46" i="11"/>
  <c r="B47" i="11"/>
  <c r="B48" i="11"/>
  <c r="B49" i="11"/>
  <c r="B42" i="11"/>
  <c r="F76" i="11"/>
  <c r="E77" i="11" s="1"/>
  <c r="F65" i="11"/>
  <c r="E66" i="11" s="1"/>
  <c r="F66" i="11" s="1"/>
  <c r="E67" i="11" s="1"/>
  <c r="F25" i="11"/>
  <c r="E26" i="11" s="1"/>
  <c r="F26" i="11" s="1"/>
  <c r="E27" i="11" s="1"/>
  <c r="F27" i="11" s="1"/>
  <c r="E28" i="11" s="1"/>
  <c r="F28" i="11" s="1"/>
  <c r="E29" i="11" s="1"/>
  <c r="F29" i="11" s="1"/>
  <c r="E30" i="11" s="1"/>
  <c r="F30" i="11" s="1"/>
  <c r="E31" i="11" s="1"/>
  <c r="F31" i="11" s="1"/>
  <c r="E32" i="11" s="1"/>
  <c r="F32" i="11" s="1"/>
  <c r="F3" i="11"/>
  <c r="E4" i="11" s="1"/>
  <c r="F4" i="11" s="1"/>
  <c r="E5" i="11" s="1"/>
  <c r="F5" i="11" s="1"/>
  <c r="E6" i="11" s="1"/>
  <c r="F6" i="11" s="1"/>
  <c r="E7" i="11" s="1"/>
  <c r="F7" i="11" s="1"/>
  <c r="E8" i="11" s="1"/>
  <c r="F8" i="11" s="1"/>
  <c r="E9" i="11" s="1"/>
  <c r="F9" i="11" s="1"/>
  <c r="E10" i="11" s="1"/>
  <c r="F10" i="11" s="1"/>
  <c r="D23" i="2"/>
  <c r="C24" i="2"/>
  <c r="C36" i="2" s="1"/>
  <c r="F24" i="2"/>
  <c r="G24" i="2"/>
  <c r="J24" i="2"/>
  <c r="D35" i="2"/>
  <c r="F36" i="2"/>
  <c r="G36" i="2"/>
  <c r="J36" i="2"/>
  <c r="D38" i="2"/>
  <c r="E38" i="2" s="1"/>
  <c r="D39" i="2"/>
  <c r="E39" i="2" s="1"/>
  <c r="D40" i="2"/>
  <c r="E40" i="2" s="1"/>
  <c r="E2" i="6"/>
  <c r="F2" i="6" s="1"/>
  <c r="G2" i="6" s="1"/>
  <c r="H2" i="6" s="1"/>
  <c r="I2" i="6" s="1"/>
  <c r="J2" i="6" s="1"/>
  <c r="K2" i="6" s="1"/>
  <c r="L2" i="6" s="1"/>
  <c r="M2" i="6" s="1"/>
  <c r="N2" i="6" s="1"/>
  <c r="O2" i="6" s="1"/>
  <c r="O8" i="6"/>
  <c r="E13" i="6"/>
  <c r="F13" i="6"/>
  <c r="G13" i="6" s="1"/>
  <c r="H13" i="6" s="1"/>
  <c r="I13" i="6" s="1"/>
  <c r="J13" i="6" s="1"/>
  <c r="K13" i="6" s="1"/>
  <c r="L13" i="6" s="1"/>
  <c r="M13" i="6" s="1"/>
  <c r="N13" i="6" s="1"/>
  <c r="O13" i="6" s="1"/>
  <c r="O19" i="6"/>
  <c r="O20" i="6" s="1"/>
  <c r="E25" i="6"/>
  <c r="F25" i="6" s="1"/>
  <c r="G25" i="6" s="1"/>
  <c r="H25" i="6" s="1"/>
  <c r="I25" i="6" s="1"/>
  <c r="J25" i="6" s="1"/>
  <c r="K25" i="6" s="1"/>
  <c r="L25" i="6" s="1"/>
  <c r="M25" i="6" s="1"/>
  <c r="N25" i="6" s="1"/>
  <c r="O25" i="6" s="1"/>
  <c r="N31" i="6"/>
  <c r="N32" i="6" s="1"/>
  <c r="O31" i="6"/>
  <c r="O32" i="6" s="1"/>
  <c r="E37" i="6"/>
  <c r="F37" i="6" s="1"/>
  <c r="G37" i="6" s="1"/>
  <c r="H37" i="6" s="1"/>
  <c r="I37" i="6" s="1"/>
  <c r="J37" i="6" s="1"/>
  <c r="K37" i="6" s="1"/>
  <c r="L37" i="6" s="1"/>
  <c r="M37" i="6" s="1"/>
  <c r="N37" i="6" s="1"/>
  <c r="O37" i="6" s="1"/>
  <c r="O43" i="6"/>
  <c r="O44" i="6" s="1"/>
  <c r="E49" i="6"/>
  <c r="F49" i="6" s="1"/>
  <c r="G49" i="6" s="1"/>
  <c r="H49" i="6" s="1"/>
  <c r="I49" i="6" s="1"/>
  <c r="J49" i="6" s="1"/>
  <c r="K49" i="6" s="1"/>
  <c r="L49" i="6" s="1"/>
  <c r="M49" i="6" s="1"/>
  <c r="N49" i="6" s="1"/>
  <c r="O49" i="6" s="1"/>
  <c r="O8" i="7"/>
  <c r="O9" i="7" s="1"/>
  <c r="N55" i="6"/>
  <c r="N56" i="6" s="1"/>
  <c r="O55" i="6"/>
  <c r="O56" i="6" s="1"/>
  <c r="E61" i="6"/>
  <c r="F61" i="6" s="1"/>
  <c r="G61" i="6" s="1"/>
  <c r="H61" i="6" s="1"/>
  <c r="I61" i="6" s="1"/>
  <c r="J61" i="6" s="1"/>
  <c r="K61" i="6" s="1"/>
  <c r="L61" i="6" s="1"/>
  <c r="M61" i="6" s="1"/>
  <c r="N61" i="6" s="1"/>
  <c r="O61" i="6" s="1"/>
  <c r="N31" i="7"/>
  <c r="N32" i="7" s="1"/>
  <c r="O43" i="7"/>
  <c r="O44" i="7" s="1"/>
  <c r="O31" i="7"/>
  <c r="O32" i="7" s="1"/>
  <c r="O19" i="7"/>
  <c r="O20" i="7" s="1"/>
  <c r="N67" i="6"/>
  <c r="N68" i="6" s="1"/>
  <c r="O67" i="6"/>
  <c r="O68" i="6" s="1"/>
  <c r="E2" i="7"/>
  <c r="F2" i="7" s="1"/>
  <c r="G2" i="7" s="1"/>
  <c r="H2" i="7" s="1"/>
  <c r="I2" i="7" s="1"/>
  <c r="J2" i="7" s="1"/>
  <c r="K2" i="7" s="1"/>
  <c r="L2" i="7" s="1"/>
  <c r="M2" i="7" s="1"/>
  <c r="N2" i="7" s="1"/>
  <c r="O2" i="7" s="1"/>
  <c r="E13" i="7"/>
  <c r="F13" i="7" s="1"/>
  <c r="G13" i="7" s="1"/>
  <c r="H13" i="7" s="1"/>
  <c r="I13" i="7" s="1"/>
  <c r="J13" i="7" s="1"/>
  <c r="K13" i="7" s="1"/>
  <c r="L13" i="7" s="1"/>
  <c r="M13" i="7" s="1"/>
  <c r="N13" i="7" s="1"/>
  <c r="O13" i="7" s="1"/>
  <c r="E25" i="7"/>
  <c r="F25" i="7" s="1"/>
  <c r="G25" i="7" s="1"/>
  <c r="H25" i="7" s="1"/>
  <c r="I25" i="7" s="1"/>
  <c r="J25" i="7" s="1"/>
  <c r="K25" i="7" s="1"/>
  <c r="L25" i="7" s="1"/>
  <c r="M25" i="7" s="1"/>
  <c r="N25" i="7" s="1"/>
  <c r="O25" i="7" s="1"/>
  <c r="E37" i="7"/>
  <c r="F37" i="7" s="1"/>
  <c r="G37" i="7" s="1"/>
  <c r="H37" i="7" s="1"/>
  <c r="I37" i="7" s="1"/>
  <c r="J37" i="7" s="1"/>
  <c r="K37" i="7" s="1"/>
  <c r="L37" i="7" s="1"/>
  <c r="M37" i="7" s="1"/>
  <c r="N37" i="7" s="1"/>
  <c r="O37" i="7" s="1"/>
  <c r="L15" i="12"/>
  <c r="H3" i="12"/>
  <c r="O50" i="6"/>
  <c r="O14" i="7"/>
  <c r="Q3" i="7"/>
  <c r="G13" i="4" l="1"/>
  <c r="F13" i="4"/>
  <c r="H13" i="4" s="1"/>
  <c r="E9" i="5"/>
  <c r="E11" i="5" s="1"/>
  <c r="Q3" i="6"/>
  <c r="J9" i="5"/>
  <c r="H3" i="11"/>
  <c r="I3" i="11" s="1"/>
  <c r="E14" i="5"/>
  <c r="G38" i="2"/>
  <c r="O26" i="7"/>
  <c r="O26" i="6"/>
  <c r="G3" i="7"/>
  <c r="O62" i="6"/>
  <c r="O38" i="7"/>
  <c r="H76" i="11"/>
  <c r="I76" i="11" s="1"/>
  <c r="K76" i="11" s="1"/>
  <c r="L76" i="11" s="1"/>
  <c r="E4" i="12"/>
  <c r="F4" i="12" s="1"/>
  <c r="E5" i="12" s="1"/>
  <c r="F5" i="12" s="1"/>
  <c r="E6" i="12" s="1"/>
  <c r="F6" i="12" s="1"/>
  <c r="E7" i="12" s="1"/>
  <c r="F7" i="12" s="1"/>
  <c r="E8" i="12" s="1"/>
  <c r="F8" i="12" s="1"/>
  <c r="E9" i="12" s="1"/>
  <c r="F9" i="12" s="1"/>
  <c r="E10" i="12" s="1"/>
  <c r="F10" i="12" s="1"/>
  <c r="O38" i="6"/>
  <c r="O14" i="6"/>
  <c r="N14" i="6"/>
  <c r="K3" i="11"/>
  <c r="L3" i="11" s="1"/>
  <c r="K4" i="11" s="1"/>
  <c r="L4" i="11" s="1"/>
  <c r="K5" i="11" s="1"/>
  <c r="L5" i="11" s="1"/>
  <c r="K6" i="11" s="1"/>
  <c r="L6" i="11" s="1"/>
  <c r="K7" i="11" s="1"/>
  <c r="L7" i="11" s="1"/>
  <c r="K8" i="11" s="1"/>
  <c r="L8" i="11" s="1"/>
  <c r="K9" i="11" s="1"/>
  <c r="L9" i="11" s="1"/>
  <c r="K10" i="11" s="1"/>
  <c r="L10" i="11" s="1"/>
  <c r="H4" i="11"/>
  <c r="I4" i="11" s="1"/>
  <c r="H5" i="11" s="1"/>
  <c r="I5" i="11" s="1"/>
  <c r="H6" i="11" s="1"/>
  <c r="I6" i="11" s="1"/>
  <c r="H7" i="11" s="1"/>
  <c r="I7" i="11" s="1"/>
  <c r="H8" i="11" s="1"/>
  <c r="I8" i="11" s="1"/>
  <c r="H9" i="11" s="1"/>
  <c r="I9" i="11" s="1"/>
  <c r="H10" i="11" s="1"/>
  <c r="I10" i="11" s="1"/>
  <c r="G76" i="11"/>
  <c r="F77" i="11"/>
  <c r="E78" i="11" s="1"/>
  <c r="H65" i="11"/>
  <c r="I65" i="11" s="1"/>
  <c r="H66" i="11" s="1"/>
  <c r="H25" i="11"/>
  <c r="I25" i="11" s="1"/>
  <c r="K25" i="11" s="1"/>
  <c r="L25" i="11" s="1"/>
  <c r="N38" i="6"/>
  <c r="L9" i="5"/>
  <c r="J3" i="12"/>
  <c r="H14" i="11"/>
  <c r="I14" i="11" s="1"/>
  <c r="K14" i="11" s="1"/>
  <c r="L14" i="11" s="1"/>
  <c r="D9" i="5"/>
  <c r="G65" i="11"/>
  <c r="F9" i="5"/>
  <c r="H9" i="5"/>
  <c r="J3" i="7" s="1"/>
  <c r="I9" i="5"/>
  <c r="F67" i="11"/>
  <c r="E68" i="11" s="1"/>
  <c r="G66" i="11"/>
  <c r="F38" i="2"/>
  <c r="G17" i="13"/>
  <c r="N9" i="6"/>
  <c r="N26" i="6"/>
  <c r="D5" i="7"/>
  <c r="C8" i="7"/>
  <c r="C10" i="7" s="1"/>
  <c r="C9" i="8" s="1"/>
  <c r="E7" i="5"/>
  <c r="H17" i="13"/>
  <c r="K11" i="5"/>
  <c r="F7" i="2"/>
  <c r="F6" i="2"/>
  <c r="F5" i="2"/>
  <c r="F4" i="2"/>
  <c r="F17" i="13"/>
  <c r="L5" i="5"/>
  <c r="H5" i="5"/>
  <c r="D5" i="5"/>
  <c r="D11" i="5"/>
  <c r="L11" i="5"/>
  <c r="N3" i="7"/>
  <c r="F3" i="7"/>
  <c r="K5" i="5"/>
  <c r="G5" i="5"/>
  <c r="C5" i="5"/>
  <c r="M9" i="5"/>
  <c r="B5" i="5"/>
  <c r="J5" i="5"/>
  <c r="F5" i="5"/>
  <c r="O9" i="6"/>
  <c r="M5" i="5"/>
  <c r="I5" i="5"/>
  <c r="C9" i="5"/>
  <c r="G9" i="5"/>
  <c r="G14" i="4" l="1"/>
  <c r="F14" i="4"/>
  <c r="J11" i="5"/>
  <c r="L3" i="7"/>
  <c r="H15" i="11"/>
  <c r="I15" i="11" s="1"/>
  <c r="H16" i="11" s="1"/>
  <c r="I16" i="11" s="1"/>
  <c r="H17" i="11" s="1"/>
  <c r="I17" i="11" s="1"/>
  <c r="H18" i="11" s="1"/>
  <c r="I18" i="11" s="1"/>
  <c r="H19" i="11" s="1"/>
  <c r="I19" i="11" s="1"/>
  <c r="H20" i="11" s="1"/>
  <c r="I20" i="11" s="1"/>
  <c r="H21" i="11" s="1"/>
  <c r="I21" i="11" s="1"/>
  <c r="H11" i="5"/>
  <c r="K65" i="11"/>
  <c r="L65" i="11" s="1"/>
  <c r="H77" i="11"/>
  <c r="J76" i="11" s="1"/>
  <c r="G4" i="12"/>
  <c r="H26" i="11"/>
  <c r="I26" i="11" s="1"/>
  <c r="H27" i="11" s="1"/>
  <c r="I27" i="11" s="1"/>
  <c r="H28" i="11" s="1"/>
  <c r="I28" i="11" s="1"/>
  <c r="H29" i="11" s="1"/>
  <c r="I29" i="11" s="1"/>
  <c r="H30" i="11" s="1"/>
  <c r="I30" i="11" s="1"/>
  <c r="H31" i="11" s="1"/>
  <c r="I31" i="11" s="1"/>
  <c r="H32" i="11" s="1"/>
  <c r="I32" i="11" s="1"/>
  <c r="I11" i="5"/>
  <c r="K3" i="7"/>
  <c r="N15" i="12"/>
  <c r="K3" i="12"/>
  <c r="G77" i="11"/>
  <c r="F78" i="11"/>
  <c r="E79" i="11" s="1"/>
  <c r="F11" i="5"/>
  <c r="H3" i="7"/>
  <c r="H3" i="6"/>
  <c r="F7" i="5"/>
  <c r="F14" i="5"/>
  <c r="J7" i="5"/>
  <c r="L3" i="6"/>
  <c r="J14" i="5"/>
  <c r="B7" i="5"/>
  <c r="N5" i="5"/>
  <c r="B14" i="5"/>
  <c r="D3" i="6"/>
  <c r="M11" i="5"/>
  <c r="O3" i="7"/>
  <c r="F4" i="4"/>
  <c r="B40" i="2"/>
  <c r="B28" i="2"/>
  <c r="C28" i="2" s="1"/>
  <c r="D28" i="2" s="1"/>
  <c r="E28" i="2" s="1"/>
  <c r="B16" i="2"/>
  <c r="K26" i="11"/>
  <c r="L26" i="11" s="1"/>
  <c r="K27" i="11" s="1"/>
  <c r="L27" i="11" s="1"/>
  <c r="K28" i="11" s="1"/>
  <c r="L28" i="11" s="1"/>
  <c r="K29" i="11" s="1"/>
  <c r="L29" i="11" s="1"/>
  <c r="K30" i="11" s="1"/>
  <c r="L30" i="11" s="1"/>
  <c r="K31" i="11" s="1"/>
  <c r="L31" i="11" s="1"/>
  <c r="K32" i="11" s="1"/>
  <c r="L32" i="11" s="1"/>
  <c r="E3" i="6"/>
  <c r="C7" i="5"/>
  <c r="C14" i="5"/>
  <c r="H7" i="5"/>
  <c r="J3" i="6"/>
  <c r="H14" i="5"/>
  <c r="C53" i="7"/>
  <c r="F68" i="11"/>
  <c r="E69" i="11" s="1"/>
  <c r="G67" i="11"/>
  <c r="C11" i="5"/>
  <c r="E3" i="7"/>
  <c r="N9" i="5"/>
  <c r="D7" i="5"/>
  <c r="F3" i="6"/>
  <c r="D14" i="5"/>
  <c r="G7" i="5"/>
  <c r="G14" i="5"/>
  <c r="O3" i="6"/>
  <c r="M7" i="5"/>
  <c r="M14" i="5"/>
  <c r="M3" i="6"/>
  <c r="K7" i="5"/>
  <c r="K14" i="5"/>
  <c r="L7" i="5"/>
  <c r="N3" i="6"/>
  <c r="L14" i="5"/>
  <c r="I66" i="11"/>
  <c r="H67" i="11" s="1"/>
  <c r="J65" i="11"/>
  <c r="B14" i="2"/>
  <c r="F2" i="4"/>
  <c r="F8" i="2"/>
  <c r="G8" i="2"/>
  <c r="H8" i="2" s="1"/>
  <c r="B38" i="2"/>
  <c r="B26" i="2"/>
  <c r="F3" i="4"/>
  <c r="B15" i="2"/>
  <c r="B39" i="2"/>
  <c r="B27" i="2"/>
  <c r="C27" i="2" s="1"/>
  <c r="D27" i="2" s="1"/>
  <c r="E27" i="2" s="1"/>
  <c r="I3" i="7"/>
  <c r="G11" i="5"/>
  <c r="B41" i="2"/>
  <c r="F5" i="4"/>
  <c r="B29" i="2"/>
  <c r="C29" i="2" s="1"/>
  <c r="D29" i="2" s="1"/>
  <c r="E29" i="2" s="1"/>
  <c r="B17" i="2"/>
  <c r="I7" i="5"/>
  <c r="K3" i="6"/>
  <c r="I14" i="5"/>
  <c r="H38" i="2"/>
  <c r="H14" i="4" l="1"/>
  <c r="G15" i="4" s="1"/>
  <c r="B42" i="2"/>
  <c r="B30" i="2"/>
  <c r="I77" i="11"/>
  <c r="K15" i="11"/>
  <c r="L15" i="11" s="1"/>
  <c r="K16" i="11" s="1"/>
  <c r="L16" i="11" s="1"/>
  <c r="K17" i="11" s="1"/>
  <c r="L17" i="11" s="1"/>
  <c r="K18" i="11" s="1"/>
  <c r="L18" i="11" s="1"/>
  <c r="K19" i="11" s="1"/>
  <c r="L19" i="11" s="1"/>
  <c r="K20" i="11" s="1"/>
  <c r="L20" i="11" s="1"/>
  <c r="K21" i="11" s="1"/>
  <c r="L21" i="11" s="1"/>
  <c r="I3" i="12"/>
  <c r="L17" i="12" s="1"/>
  <c r="H4" i="12"/>
  <c r="G5" i="12" s="1"/>
  <c r="H5" i="12" s="1"/>
  <c r="G6" i="12" s="1"/>
  <c r="J4" i="12"/>
  <c r="L3" i="12"/>
  <c r="N17" i="12" s="1"/>
  <c r="K4" i="12"/>
  <c r="I4" i="12"/>
  <c r="L19" i="12" s="1"/>
  <c r="H78" i="11"/>
  <c r="K77" i="11"/>
  <c r="G78" i="11"/>
  <c r="F79" i="11"/>
  <c r="E80" i="11" s="1"/>
  <c r="G68" i="11"/>
  <c r="F69" i="11"/>
  <c r="E70" i="11" s="1"/>
  <c r="C26" i="2"/>
  <c r="C30" i="2" s="1"/>
  <c r="K66" i="11"/>
  <c r="C16" i="2"/>
  <c r="D16" i="2" s="1"/>
  <c r="E16" i="2" s="1"/>
  <c r="C14" i="2"/>
  <c r="C17" i="2"/>
  <c r="D17" i="2" s="1"/>
  <c r="E17" i="2" s="1"/>
  <c r="C15" i="2"/>
  <c r="D15" i="2" s="1"/>
  <c r="E15" i="2" s="1"/>
  <c r="E6" i="7"/>
  <c r="E7" i="7" s="1"/>
  <c r="P3" i="7"/>
  <c r="J66" i="11"/>
  <c r="I67" i="11"/>
  <c r="H68" i="11" s="1"/>
  <c r="N14" i="5"/>
  <c r="F39" i="2"/>
  <c r="G39" i="2"/>
  <c r="I38" i="2"/>
  <c r="F6" i="4"/>
  <c r="B18" i="2"/>
  <c r="D6" i="6"/>
  <c r="D7" i="6" s="1"/>
  <c r="D5" i="6" s="1"/>
  <c r="E6" i="6" s="1"/>
  <c r="E7" i="6" s="1"/>
  <c r="C8" i="6" s="1"/>
  <c r="C10" i="6" s="1"/>
  <c r="P3" i="6"/>
  <c r="F15" i="4" l="1"/>
  <c r="H39" i="2"/>
  <c r="G40" i="2" s="1"/>
  <c r="M76" i="11"/>
  <c r="L77" i="11"/>
  <c r="J77" i="11"/>
  <c r="I78" i="11"/>
  <c r="H79" i="11" s="1"/>
  <c r="H6" i="12"/>
  <c r="G7" i="12" s="1"/>
  <c r="I5" i="12"/>
  <c r="L21" i="12" s="1"/>
  <c r="G79" i="11"/>
  <c r="F80" i="11"/>
  <c r="E81" i="11" s="1"/>
  <c r="J5" i="12"/>
  <c r="C19" i="8"/>
  <c r="C75" i="6"/>
  <c r="F40" i="2"/>
  <c r="J38" i="2"/>
  <c r="D8" i="7"/>
  <c r="E5" i="7"/>
  <c r="F70" i="11"/>
  <c r="E71" i="11" s="1"/>
  <c r="G69" i="11"/>
  <c r="D14" i="2"/>
  <c r="E14" i="2" s="1"/>
  <c r="C18" i="2"/>
  <c r="M65" i="11"/>
  <c r="L66" i="11"/>
  <c r="K67" i="11" s="1"/>
  <c r="E5" i="6"/>
  <c r="I68" i="11"/>
  <c r="H69" i="11" s="1"/>
  <c r="J67" i="11"/>
  <c r="D26" i="2"/>
  <c r="E26" i="2" s="1"/>
  <c r="H15" i="4" l="1"/>
  <c r="I39" i="2"/>
  <c r="H40" i="2"/>
  <c r="H7" i="12"/>
  <c r="G8" i="12" s="1"/>
  <c r="I6" i="12"/>
  <c r="L23" i="12" s="1"/>
  <c r="K5" i="12"/>
  <c r="J6" i="12" s="1"/>
  <c r="L4" i="12"/>
  <c r="N19" i="12" s="1"/>
  <c r="K78" i="11"/>
  <c r="I79" i="11"/>
  <c r="H80" i="11" s="1"/>
  <c r="J78" i="11"/>
  <c r="F81" i="11"/>
  <c r="E82" i="11" s="1"/>
  <c r="G80" i="11"/>
  <c r="G41" i="2"/>
  <c r="G42" i="2" s="1"/>
  <c r="F41" i="2"/>
  <c r="F42" i="2" s="1"/>
  <c r="F6" i="7"/>
  <c r="F7" i="7" s="1"/>
  <c r="E8" i="7" s="1"/>
  <c r="F14" i="2"/>
  <c r="G14" i="2"/>
  <c r="L67" i="11"/>
  <c r="K68" i="11" s="1"/>
  <c r="M66" i="11"/>
  <c r="D26" i="7"/>
  <c r="D29" i="7" s="1"/>
  <c r="D30" i="7" s="1"/>
  <c r="D28" i="7" s="1"/>
  <c r="D14" i="7"/>
  <c r="D17" i="7" s="1"/>
  <c r="D18" i="7" s="1"/>
  <c r="D38" i="7"/>
  <c r="D41" i="7" s="1"/>
  <c r="D42" i="7" s="1"/>
  <c r="D9" i="7"/>
  <c r="I69" i="11"/>
  <c r="H70" i="11" s="1"/>
  <c r="J68" i="11"/>
  <c r="J39" i="2"/>
  <c r="I40" i="2"/>
  <c r="G70" i="11"/>
  <c r="F71" i="11"/>
  <c r="E72" i="11" s="1"/>
  <c r="G26" i="2"/>
  <c r="F26" i="2"/>
  <c r="F6" i="6"/>
  <c r="F7" i="6" s="1"/>
  <c r="D8" i="6" s="1"/>
  <c r="J79" i="11" l="1"/>
  <c r="I80" i="11"/>
  <c r="H81" i="11" s="1"/>
  <c r="G81" i="11"/>
  <c r="F82" i="11"/>
  <c r="E83" i="11" s="1"/>
  <c r="L78" i="11"/>
  <c r="K79" i="11" s="1"/>
  <c r="M77" i="11"/>
  <c r="L5" i="12"/>
  <c r="N21" i="12" s="1"/>
  <c r="K6" i="12"/>
  <c r="J7" i="12" s="1"/>
  <c r="F5" i="6"/>
  <c r="H8" i="12"/>
  <c r="G9" i="12" s="1"/>
  <c r="I7" i="12"/>
  <c r="L25" i="12" s="1"/>
  <c r="E26" i="7"/>
  <c r="E29" i="7" s="1"/>
  <c r="E30" i="7" s="1"/>
  <c r="C31" i="7" s="1"/>
  <c r="E14" i="7"/>
  <c r="E17" i="7" s="1"/>
  <c r="E18" i="7" s="1"/>
  <c r="D19" i="7" s="1"/>
  <c r="D20" i="7" s="1"/>
  <c r="E38" i="7"/>
  <c r="E41" i="7" s="1"/>
  <c r="E42" i="7" s="1"/>
  <c r="D43" i="7" s="1"/>
  <c r="D44" i="7" s="1"/>
  <c r="E9" i="7"/>
  <c r="H14" i="2"/>
  <c r="G71" i="11"/>
  <c r="G73" i="11" s="1"/>
  <c r="F72" i="11"/>
  <c r="J40" i="2"/>
  <c r="D40" i="7"/>
  <c r="C43" i="7"/>
  <c r="C45" i="7" s="1"/>
  <c r="G6" i="6"/>
  <c r="G7" i="6" s="1"/>
  <c r="E8" i="6" s="1"/>
  <c r="I70" i="11"/>
  <c r="H71" i="11" s="1"/>
  <c r="J69" i="11"/>
  <c r="C19" i="7"/>
  <c r="C21" i="7" s="1"/>
  <c r="D16" i="7"/>
  <c r="H41" i="2"/>
  <c r="H26" i="2"/>
  <c r="F5" i="7"/>
  <c r="D14" i="6"/>
  <c r="D17" i="6" s="1"/>
  <c r="D18" i="6" s="1"/>
  <c r="D50" i="6"/>
  <c r="D53" i="6" s="1"/>
  <c r="D54" i="6" s="1"/>
  <c r="D52" i="6" s="1"/>
  <c r="D38" i="6"/>
  <c r="D41" i="6" s="1"/>
  <c r="D42" i="6" s="1"/>
  <c r="D26" i="6"/>
  <c r="D29" i="6" s="1"/>
  <c r="D30" i="6" s="1"/>
  <c r="D28" i="6" s="1"/>
  <c r="D9" i="6"/>
  <c r="E28" i="7"/>
  <c r="L68" i="11"/>
  <c r="K69" i="11" s="1"/>
  <c r="M67" i="11"/>
  <c r="L6" i="12" l="1"/>
  <c r="N23" i="12" s="1"/>
  <c r="K7" i="12"/>
  <c r="J8" i="12" s="1"/>
  <c r="L79" i="11"/>
  <c r="K80" i="11" s="1"/>
  <c r="M78" i="11"/>
  <c r="F83" i="11"/>
  <c r="G82" i="11"/>
  <c r="G84" i="11" s="1"/>
  <c r="H9" i="12"/>
  <c r="G10" i="12" s="1"/>
  <c r="I8" i="12"/>
  <c r="L27" i="12" s="1"/>
  <c r="I81" i="11"/>
  <c r="H82" i="11" s="1"/>
  <c r="J80" i="11"/>
  <c r="L69" i="11"/>
  <c r="K70" i="11" s="1"/>
  <c r="M68" i="11"/>
  <c r="D40" i="6"/>
  <c r="C43" i="6"/>
  <c r="E16" i="7"/>
  <c r="C8" i="8"/>
  <c r="C10" i="8" s="1"/>
  <c r="C54" i="7"/>
  <c r="C55" i="7" s="1"/>
  <c r="E40" i="7"/>
  <c r="G6" i="7"/>
  <c r="G7" i="7" s="1"/>
  <c r="F8" i="7" s="1"/>
  <c r="E14" i="6"/>
  <c r="E26" i="6"/>
  <c r="E29" i="6" s="1"/>
  <c r="E30" i="6" s="1"/>
  <c r="C31" i="6" s="1"/>
  <c r="E38" i="6"/>
  <c r="E50" i="6"/>
  <c r="E53" i="6" s="1"/>
  <c r="E54" i="6" s="1"/>
  <c r="C55" i="6" s="1"/>
  <c r="C57" i="6" s="1"/>
  <c r="E9" i="6"/>
  <c r="I41" i="2"/>
  <c r="J41" i="2" s="1"/>
  <c r="J42" i="2" s="1"/>
  <c r="F15" i="2"/>
  <c r="G15" i="2"/>
  <c r="I14" i="2"/>
  <c r="I71" i="11"/>
  <c r="H72" i="11" s="1"/>
  <c r="J70" i="11"/>
  <c r="D16" i="6"/>
  <c r="C19" i="6"/>
  <c r="G27" i="2"/>
  <c r="F27" i="2"/>
  <c r="I26" i="2"/>
  <c r="G5" i="6"/>
  <c r="H15" i="2" l="1"/>
  <c r="H27" i="2"/>
  <c r="G28" i="2" s="1"/>
  <c r="H10" i="12"/>
  <c r="I9" i="12"/>
  <c r="L29" i="12" s="1"/>
  <c r="L80" i="11"/>
  <c r="K81" i="11" s="1"/>
  <c r="M79" i="11"/>
  <c r="K8" i="12"/>
  <c r="J9" i="12" s="1"/>
  <c r="L7" i="12"/>
  <c r="N25" i="12" s="1"/>
  <c r="E41" i="6"/>
  <c r="E42" i="6" s="1"/>
  <c r="D43" i="6" s="1"/>
  <c r="D44" i="6" s="1"/>
  <c r="J81" i="11"/>
  <c r="I82" i="11"/>
  <c r="H83" i="11" s="1"/>
  <c r="F14" i="7"/>
  <c r="F17" i="7" s="1"/>
  <c r="F18" i="7" s="1"/>
  <c r="E19" i="7" s="1"/>
  <c r="E20" i="7" s="1"/>
  <c r="F26" i="7"/>
  <c r="F29" i="7" s="1"/>
  <c r="F30" i="7" s="1"/>
  <c r="F38" i="7"/>
  <c r="F41" i="7" s="1"/>
  <c r="F42" i="7" s="1"/>
  <c r="E43" i="7" s="1"/>
  <c r="E44" i="7" s="1"/>
  <c r="F9" i="7"/>
  <c r="J26" i="2"/>
  <c r="G5" i="7"/>
  <c r="E52" i="6"/>
  <c r="G16" i="2"/>
  <c r="F16" i="2"/>
  <c r="F28" i="2"/>
  <c r="F40" i="7"/>
  <c r="E28" i="6"/>
  <c r="L70" i="11"/>
  <c r="K71" i="11" s="1"/>
  <c r="M69" i="11"/>
  <c r="I15" i="2"/>
  <c r="J14" i="2"/>
  <c r="J71" i="11"/>
  <c r="J73" i="11" s="1"/>
  <c r="I72" i="11"/>
  <c r="H6" i="6"/>
  <c r="H7" i="6" s="1"/>
  <c r="F8" i="6" s="1"/>
  <c r="E17" i="6"/>
  <c r="E18" i="6" s="1"/>
  <c r="D19" i="6" s="1"/>
  <c r="D20" i="6" s="1"/>
  <c r="H28" i="2" l="1"/>
  <c r="I27" i="2"/>
  <c r="H16" i="2"/>
  <c r="K9" i="12"/>
  <c r="J10" i="12" s="1"/>
  <c r="L8" i="12"/>
  <c r="N27" i="12" s="1"/>
  <c r="L81" i="11"/>
  <c r="K82" i="11" s="1"/>
  <c r="M80" i="11"/>
  <c r="E40" i="6"/>
  <c r="I83" i="11"/>
  <c r="J82" i="11"/>
  <c r="J84" i="11" s="1"/>
  <c r="F29" i="2"/>
  <c r="F30" i="2" s="1"/>
  <c r="G29" i="2"/>
  <c r="G30" i="2" s="1"/>
  <c r="F17" i="2"/>
  <c r="F18" i="2" s="1"/>
  <c r="G17" i="2"/>
  <c r="F16" i="7"/>
  <c r="F14" i="6"/>
  <c r="F38" i="6"/>
  <c r="F41" i="6" s="1"/>
  <c r="F42" i="6" s="1"/>
  <c r="E43" i="6" s="1"/>
  <c r="E44" i="6" s="1"/>
  <c r="F26" i="6"/>
  <c r="F29" i="6" s="1"/>
  <c r="F30" i="6" s="1"/>
  <c r="D31" i="6" s="1"/>
  <c r="D32" i="6" s="1"/>
  <c r="F50" i="6"/>
  <c r="F53" i="6" s="1"/>
  <c r="F54" i="6" s="1"/>
  <c r="D55" i="6" s="1"/>
  <c r="D56" i="6" s="1"/>
  <c r="F9" i="6"/>
  <c r="H5" i="6"/>
  <c r="H6" i="7"/>
  <c r="H7" i="7" s="1"/>
  <c r="G8" i="7" s="1"/>
  <c r="E16" i="6"/>
  <c r="L71" i="11"/>
  <c r="K72" i="11" s="1"/>
  <c r="M70" i="11"/>
  <c r="J15" i="2"/>
  <c r="I16" i="2"/>
  <c r="J27" i="2"/>
  <c r="I28" i="2"/>
  <c r="D31" i="7"/>
  <c r="D32" i="7" s="1"/>
  <c r="F28" i="7"/>
  <c r="F28" i="6" l="1"/>
  <c r="F40" i="6"/>
  <c r="F17" i="6"/>
  <c r="F18" i="6" s="1"/>
  <c r="E19" i="6" s="1"/>
  <c r="E20" i="6" s="1"/>
  <c r="F52" i="6"/>
  <c r="M81" i="11"/>
  <c r="L82" i="11"/>
  <c r="K83" i="11" s="1"/>
  <c r="H29" i="2"/>
  <c r="L9" i="12"/>
  <c r="N29" i="12" s="1"/>
  <c r="K10" i="12"/>
  <c r="H17" i="2"/>
  <c r="I17" i="2" s="1"/>
  <c r="J17" i="2" s="1"/>
  <c r="G26" i="7"/>
  <c r="G29" i="7" s="1"/>
  <c r="G30" i="7" s="1"/>
  <c r="E31" i="7" s="1"/>
  <c r="E32" i="7" s="1"/>
  <c r="G38" i="7"/>
  <c r="G41" i="7" s="1"/>
  <c r="G42" i="7" s="1"/>
  <c r="G14" i="7"/>
  <c r="G17" i="7" s="1"/>
  <c r="G18" i="7" s="1"/>
  <c r="F19" i="7" s="1"/>
  <c r="F20" i="7" s="1"/>
  <c r="G9" i="7"/>
  <c r="H5" i="7"/>
  <c r="J16" i="2"/>
  <c r="L72" i="11"/>
  <c r="M71" i="11"/>
  <c r="M73" i="11" s="1"/>
  <c r="J28" i="2"/>
  <c r="I6" i="6"/>
  <c r="I7" i="6" s="1"/>
  <c r="G8" i="6" s="1"/>
  <c r="I5" i="6"/>
  <c r="D62" i="6"/>
  <c r="D65" i="6" s="1"/>
  <c r="D66" i="6" s="1"/>
  <c r="D64" i="6" s="1"/>
  <c r="F16" i="6" l="1"/>
  <c r="L83" i="11"/>
  <c r="M82" i="11"/>
  <c r="M84" i="11" s="1"/>
  <c r="G28" i="7"/>
  <c r="J23" i="12"/>
  <c r="I10" i="12"/>
  <c r="L31" i="12" s="1"/>
  <c r="G16" i="7"/>
  <c r="I29" i="2"/>
  <c r="J29" i="2" s="1"/>
  <c r="J30" i="2" s="1"/>
  <c r="I6" i="7"/>
  <c r="I7" i="7" s="1"/>
  <c r="H8" i="7" s="1"/>
  <c r="G18" i="2"/>
  <c r="J18" i="2" s="1"/>
  <c r="J6" i="6"/>
  <c r="J7" i="6" s="1"/>
  <c r="H8" i="6" s="1"/>
  <c r="F43" i="7"/>
  <c r="F44" i="7" s="1"/>
  <c r="G40" i="7"/>
  <c r="G26" i="6"/>
  <c r="G29" i="6" s="1"/>
  <c r="G30" i="6" s="1"/>
  <c r="G14" i="6"/>
  <c r="G17" i="6" s="1"/>
  <c r="G18" i="6" s="1"/>
  <c r="F19" i="6" s="1"/>
  <c r="F20" i="6" s="1"/>
  <c r="G9" i="6"/>
  <c r="G50" i="6"/>
  <c r="G53" i="6" s="1"/>
  <c r="G54" i="6" s="1"/>
  <c r="G38" i="6"/>
  <c r="G41" i="6" s="1"/>
  <c r="G42" i="6" s="1"/>
  <c r="J5" i="6" l="1"/>
  <c r="G16" i="6"/>
  <c r="F43" i="6"/>
  <c r="F44" i="6" s="1"/>
  <c r="G40" i="6"/>
  <c r="H40" i="7"/>
  <c r="H9" i="7"/>
  <c r="H14" i="7"/>
  <c r="H17" i="7" s="1"/>
  <c r="H18" i="7" s="1"/>
  <c r="H26" i="7"/>
  <c r="H29" i="7" s="1"/>
  <c r="H30" i="7" s="1"/>
  <c r="H38" i="7"/>
  <c r="H41" i="7" s="1"/>
  <c r="H42" i="7" s="1"/>
  <c r="G43" i="7" s="1"/>
  <c r="G44" i="7" s="1"/>
  <c r="H14" i="6"/>
  <c r="H38" i="6"/>
  <c r="H9" i="6"/>
  <c r="H50" i="6"/>
  <c r="H53" i="6" s="1"/>
  <c r="H54" i="6" s="1"/>
  <c r="F55" i="6" s="1"/>
  <c r="F56" i="6" s="1"/>
  <c r="H26" i="6"/>
  <c r="E31" i="6"/>
  <c r="E32" i="6" s="1"/>
  <c r="G28" i="6"/>
  <c r="E55" i="6"/>
  <c r="E56" i="6" s="1"/>
  <c r="G52" i="6"/>
  <c r="I5" i="7"/>
  <c r="H17" i="6" l="1"/>
  <c r="H18" i="6" s="1"/>
  <c r="G19" i="6" s="1"/>
  <c r="G20" i="6" s="1"/>
  <c r="H41" i="6"/>
  <c r="H42" i="6" s="1"/>
  <c r="G43" i="6" s="1"/>
  <c r="G44" i="6" s="1"/>
  <c r="H16" i="6"/>
  <c r="J6" i="7"/>
  <c r="J7" i="7" s="1"/>
  <c r="I8" i="7" s="1"/>
  <c r="K6" i="6"/>
  <c r="K7" i="6" s="1"/>
  <c r="I8" i="6" s="1"/>
  <c r="E62" i="6"/>
  <c r="E65" i="6" s="1"/>
  <c r="E66" i="6" s="1"/>
  <c r="F31" i="7"/>
  <c r="F32" i="7" s="1"/>
  <c r="H28" i="7"/>
  <c r="H52" i="6"/>
  <c r="H29" i="6"/>
  <c r="H30" i="6" s="1"/>
  <c r="F31" i="6" s="1"/>
  <c r="F32" i="6" s="1"/>
  <c r="G19" i="7"/>
  <c r="G20" i="7" s="1"/>
  <c r="H16" i="7"/>
  <c r="H40" i="6" l="1"/>
  <c r="H28" i="6"/>
  <c r="K5" i="6"/>
  <c r="C67" i="6"/>
  <c r="C69" i="6" s="1"/>
  <c r="C18" i="8" s="1"/>
  <c r="E64" i="6"/>
  <c r="F62" i="6"/>
  <c r="I26" i="7"/>
  <c r="I29" i="7" s="1"/>
  <c r="I30" i="7" s="1"/>
  <c r="G31" i="7" s="1"/>
  <c r="G32" i="7" s="1"/>
  <c r="I14" i="7"/>
  <c r="I17" i="7" s="1"/>
  <c r="I18" i="7" s="1"/>
  <c r="H19" i="7" s="1"/>
  <c r="H20" i="7" s="1"/>
  <c r="I38" i="7"/>
  <c r="I41" i="7" s="1"/>
  <c r="I42" i="7" s="1"/>
  <c r="I9" i="7"/>
  <c r="I50" i="6"/>
  <c r="I53" i="6" s="1"/>
  <c r="I54" i="6" s="1"/>
  <c r="G55" i="6" s="1"/>
  <c r="G56" i="6" s="1"/>
  <c r="I38" i="6"/>
  <c r="I41" i="6" s="1"/>
  <c r="I42" i="6" s="1"/>
  <c r="H43" i="6" s="1"/>
  <c r="H44" i="6" s="1"/>
  <c r="I14" i="6"/>
  <c r="I17" i="6" s="1"/>
  <c r="I18" i="6" s="1"/>
  <c r="H19" i="6" s="1"/>
  <c r="H20" i="6" s="1"/>
  <c r="I9" i="6"/>
  <c r="I26" i="6"/>
  <c r="I29" i="6" s="1"/>
  <c r="I30" i="6" s="1"/>
  <c r="G31" i="6" s="1"/>
  <c r="G32" i="6" s="1"/>
  <c r="J5" i="7"/>
  <c r="F65" i="6" l="1"/>
  <c r="F66" i="6" s="1"/>
  <c r="D67" i="6" s="1"/>
  <c r="D68" i="6" s="1"/>
  <c r="I16" i="6"/>
  <c r="I52" i="6"/>
  <c r="I28" i="7"/>
  <c r="C20" i="8"/>
  <c r="C22" i="8" s="1"/>
  <c r="C76" i="6"/>
  <c r="C77" i="6" s="1"/>
  <c r="I40" i="6"/>
  <c r="G62" i="6"/>
  <c r="I16" i="7"/>
  <c r="I28" i="6"/>
  <c r="K6" i="7"/>
  <c r="K7" i="7" s="1"/>
  <c r="J8" i="7" s="1"/>
  <c r="K5" i="7"/>
  <c r="H43" i="7"/>
  <c r="H44" i="7" s="1"/>
  <c r="I40" i="7"/>
  <c r="L6" i="6"/>
  <c r="L7" i="6" s="1"/>
  <c r="J8" i="6" s="1"/>
  <c r="F64" i="6" l="1"/>
  <c r="G65" i="6" s="1"/>
  <c r="G66" i="6" s="1"/>
  <c r="L5" i="6"/>
  <c r="L6" i="7"/>
  <c r="L7" i="7" s="1"/>
  <c r="K8" i="7" s="1"/>
  <c r="M6" i="6"/>
  <c r="M7" i="6" s="1"/>
  <c r="K8" i="6" s="1"/>
  <c r="J38" i="7"/>
  <c r="J41" i="7" s="1"/>
  <c r="J42" i="7" s="1"/>
  <c r="I43" i="7" s="1"/>
  <c r="I44" i="7" s="1"/>
  <c r="J14" i="7"/>
  <c r="J17" i="7" s="1"/>
  <c r="J18" i="7" s="1"/>
  <c r="I19" i="7" s="1"/>
  <c r="I20" i="7" s="1"/>
  <c r="J26" i="7"/>
  <c r="J29" i="7" s="1"/>
  <c r="J30" i="7" s="1"/>
  <c r="H31" i="7" s="1"/>
  <c r="H32" i="7" s="1"/>
  <c r="J9" i="7"/>
  <c r="J9" i="6"/>
  <c r="J26" i="6"/>
  <c r="J29" i="6" s="1"/>
  <c r="J30" i="6" s="1"/>
  <c r="H31" i="6" s="1"/>
  <c r="H32" i="6" s="1"/>
  <c r="J50" i="6"/>
  <c r="J53" i="6" s="1"/>
  <c r="J54" i="6" s="1"/>
  <c r="J38" i="6"/>
  <c r="J41" i="6" s="1"/>
  <c r="J42" i="6" s="1"/>
  <c r="I43" i="6" s="1"/>
  <c r="I44" i="6" s="1"/>
  <c r="J14" i="6"/>
  <c r="J17" i="6" s="1"/>
  <c r="J18" i="6" s="1"/>
  <c r="E67" i="6" l="1"/>
  <c r="E68" i="6" s="1"/>
  <c r="G64" i="6"/>
  <c r="L5" i="7"/>
  <c r="J28" i="7"/>
  <c r="J16" i="7"/>
  <c r="I19" i="6"/>
  <c r="I20" i="6" s="1"/>
  <c r="J16" i="6"/>
  <c r="J40" i="6"/>
  <c r="H55" i="6"/>
  <c r="H56" i="6" s="1"/>
  <c r="J52" i="6"/>
  <c r="M6" i="7"/>
  <c r="M7" i="7" s="1"/>
  <c r="L8" i="7" s="1"/>
  <c r="J28" i="6"/>
  <c r="K9" i="6"/>
  <c r="K14" i="6"/>
  <c r="K38" i="6"/>
  <c r="K26" i="6"/>
  <c r="K50" i="6"/>
  <c r="K26" i="7"/>
  <c r="K14" i="7"/>
  <c r="K9" i="7"/>
  <c r="K38" i="7"/>
  <c r="H62" i="6"/>
  <c r="H65" i="6" s="1"/>
  <c r="H66" i="6" s="1"/>
  <c r="F67" i="6" s="1"/>
  <c r="F68" i="6" s="1"/>
  <c r="J40" i="7"/>
  <c r="M5" i="6"/>
  <c r="K29" i="7" l="1"/>
  <c r="K30" i="7" s="1"/>
  <c r="I31" i="7" s="1"/>
  <c r="I32" i="7" s="1"/>
  <c r="K17" i="6"/>
  <c r="K18" i="6" s="1"/>
  <c r="J19" i="6" s="1"/>
  <c r="J20" i="6" s="1"/>
  <c r="K17" i="7"/>
  <c r="K18" i="7" s="1"/>
  <c r="J19" i="7" s="1"/>
  <c r="J20" i="7" s="1"/>
  <c r="K53" i="6"/>
  <c r="K54" i="6" s="1"/>
  <c r="I55" i="6" s="1"/>
  <c r="I56" i="6" s="1"/>
  <c r="K29" i="6"/>
  <c r="K30" i="6" s="1"/>
  <c r="I31" i="6" s="1"/>
  <c r="I32" i="6" s="1"/>
  <c r="K16" i="7"/>
  <c r="N6" i="6"/>
  <c r="N7" i="6" s="1"/>
  <c r="L8" i="6" s="1"/>
  <c r="H64" i="6"/>
  <c r="K41" i="6"/>
  <c r="K42" i="6" s="1"/>
  <c r="J43" i="6" s="1"/>
  <c r="J44" i="6" s="1"/>
  <c r="K28" i="7"/>
  <c r="K16" i="6"/>
  <c r="L38" i="7"/>
  <c r="L9" i="7"/>
  <c r="L26" i="7"/>
  <c r="L14" i="7"/>
  <c r="M5" i="7"/>
  <c r="K41" i="7"/>
  <c r="K42" i="7" s="1"/>
  <c r="J43" i="7" s="1"/>
  <c r="J44" i="7" s="1"/>
  <c r="L29" i="7" l="1"/>
  <c r="L30" i="7" s="1"/>
  <c r="J31" i="7" s="1"/>
  <c r="J32" i="7" s="1"/>
  <c r="K28" i="6"/>
  <c r="I62" i="6"/>
  <c r="I65" i="6" s="1"/>
  <c r="I66" i="6" s="1"/>
  <c r="G67" i="6" s="1"/>
  <c r="G68" i="6" s="1"/>
  <c r="K40" i="6"/>
  <c r="N6" i="7"/>
  <c r="N7" i="7" s="1"/>
  <c r="M8" i="7" s="1"/>
  <c r="K52" i="6"/>
  <c r="I64" i="6"/>
  <c r="N5" i="6"/>
  <c r="K40" i="7"/>
  <c r="L28" i="7"/>
  <c r="L14" i="6"/>
  <c r="L17" i="6" s="1"/>
  <c r="L18" i="6" s="1"/>
  <c r="K19" i="6" s="1"/>
  <c r="K20" i="6" s="1"/>
  <c r="L26" i="6"/>
  <c r="L29" i="6" s="1"/>
  <c r="L30" i="6" s="1"/>
  <c r="J31" i="6" s="1"/>
  <c r="J32" i="6" s="1"/>
  <c r="L38" i="6"/>
  <c r="L41" i="6" s="1"/>
  <c r="L42" i="6" s="1"/>
  <c r="K43" i="6" s="1"/>
  <c r="K44" i="6" s="1"/>
  <c r="L9" i="6"/>
  <c r="L50" i="6"/>
  <c r="L17" i="7"/>
  <c r="L18" i="7" s="1"/>
  <c r="K19" i="7" s="1"/>
  <c r="K20" i="7" s="1"/>
  <c r="O6" i="6" l="1"/>
  <c r="O7" i="6" s="1"/>
  <c r="M8" i="6" s="1"/>
  <c r="M14" i="7"/>
  <c r="M38" i="7"/>
  <c r="M9" i="7"/>
  <c r="M26" i="7"/>
  <c r="M29" i="7" s="1"/>
  <c r="M30" i="7" s="1"/>
  <c r="K31" i="7" s="1"/>
  <c r="K32" i="7" s="1"/>
  <c r="L16" i="6"/>
  <c r="L28" i="6"/>
  <c r="J62" i="6"/>
  <c r="J65" i="6" s="1"/>
  <c r="J66" i="6" s="1"/>
  <c r="H67" i="6" s="1"/>
  <c r="H68" i="6" s="1"/>
  <c r="N5" i="7"/>
  <c r="L40" i="6"/>
  <c r="L53" i="6"/>
  <c r="L54" i="6" s="1"/>
  <c r="J55" i="6" s="1"/>
  <c r="J56" i="6" s="1"/>
  <c r="L16" i="7"/>
  <c r="L41" i="7"/>
  <c r="L42" i="7" s="1"/>
  <c r="K43" i="7" s="1"/>
  <c r="K44" i="7" s="1"/>
  <c r="J64" i="6" l="1"/>
  <c r="M17" i="7"/>
  <c r="M18" i="7" s="1"/>
  <c r="L19" i="7" s="1"/>
  <c r="L20" i="7" s="1"/>
  <c r="L40" i="7"/>
  <c r="M28" i="7"/>
  <c r="L52" i="6"/>
  <c r="M38" i="6"/>
  <c r="M41" i="6" s="1"/>
  <c r="M42" i="6" s="1"/>
  <c r="L43" i="6" s="1"/>
  <c r="L44" i="6" s="1"/>
  <c r="M9" i="6"/>
  <c r="M14" i="6"/>
  <c r="M17" i="6" s="1"/>
  <c r="M18" i="6" s="1"/>
  <c r="L19" i="6" s="1"/>
  <c r="L20" i="6" s="1"/>
  <c r="M50" i="6"/>
  <c r="M26" i="6"/>
  <c r="M29" i="6" s="1"/>
  <c r="M30" i="6" s="1"/>
  <c r="K31" i="6" s="1"/>
  <c r="K32" i="6" s="1"/>
  <c r="O6" i="7"/>
  <c r="O7" i="7" s="1"/>
  <c r="N8" i="7" s="1"/>
  <c r="O5" i="6"/>
  <c r="M41" i="7"/>
  <c r="M42" i="7" s="1"/>
  <c r="L43" i="7" s="1"/>
  <c r="L44" i="7" s="1"/>
  <c r="M16" i="7"/>
  <c r="M28" i="6" l="1"/>
  <c r="M53" i="6"/>
  <c r="M54" i="6" s="1"/>
  <c r="K55" i="6" s="1"/>
  <c r="K56" i="6" s="1"/>
  <c r="N50" i="6"/>
  <c r="N14" i="7"/>
  <c r="N17" i="7" s="1"/>
  <c r="N18" i="7" s="1"/>
  <c r="M19" i="7" s="1"/>
  <c r="M20" i="7" s="1"/>
  <c r="N9" i="7"/>
  <c r="N38" i="7"/>
  <c r="N41" i="7" s="1"/>
  <c r="N42" i="7" s="1"/>
  <c r="M43" i="7" s="1"/>
  <c r="M44" i="7" s="1"/>
  <c r="N26" i="7"/>
  <c r="N29" i="7" s="1"/>
  <c r="N30" i="7" s="1"/>
  <c r="M40" i="7"/>
  <c r="N29" i="6"/>
  <c r="N30" i="6" s="1"/>
  <c r="L31" i="6" s="1"/>
  <c r="L32" i="6" s="1"/>
  <c r="M16" i="6"/>
  <c r="K62" i="6"/>
  <c r="K65" i="6" s="1"/>
  <c r="K66" i="6" s="1"/>
  <c r="O5" i="7"/>
  <c r="M40" i="6"/>
  <c r="M52" i="6" l="1"/>
  <c r="N53" i="6" s="1"/>
  <c r="N54" i="6" s="1"/>
  <c r="I67" i="6"/>
  <c r="I68" i="6" s="1"/>
  <c r="K64" i="6"/>
  <c r="N41" i="6"/>
  <c r="N42" i="6" s="1"/>
  <c r="M43" i="6" s="1"/>
  <c r="M44" i="6" s="1"/>
  <c r="N40" i="7"/>
  <c r="N16" i="7"/>
  <c r="N17" i="6"/>
  <c r="N18" i="6" s="1"/>
  <c r="M19" i="6" s="1"/>
  <c r="M20" i="6" s="1"/>
  <c r="N28" i="6"/>
  <c r="L31" i="7"/>
  <c r="L32" i="7" s="1"/>
  <c r="N28" i="7"/>
  <c r="L55" i="6" l="1"/>
  <c r="L56" i="6" s="1"/>
  <c r="N52" i="6"/>
  <c r="O53" i="6" s="1"/>
  <c r="O54" i="6" s="1"/>
  <c r="M55" i="6" s="1"/>
  <c r="M56" i="6" s="1"/>
  <c r="G15" i="8" s="1"/>
  <c r="N40" i="6"/>
  <c r="O41" i="6" s="1"/>
  <c r="O42" i="6" s="1"/>
  <c r="N43" i="6" s="1"/>
  <c r="N16" i="6"/>
  <c r="O17" i="6" s="1"/>
  <c r="O18" i="6" s="1"/>
  <c r="N19" i="6" s="1"/>
  <c r="N20" i="6" s="1"/>
  <c r="L62" i="6"/>
  <c r="L65" i="6" s="1"/>
  <c r="L66" i="6" s="1"/>
  <c r="J67" i="6" s="1"/>
  <c r="J68" i="6" s="1"/>
  <c r="O29" i="7"/>
  <c r="O30" i="7" s="1"/>
  <c r="M31" i="7" s="1"/>
  <c r="O17" i="7"/>
  <c r="O18" i="7" s="1"/>
  <c r="N19" i="7" s="1"/>
  <c r="O41" i="7"/>
  <c r="O42" i="7" s="1"/>
  <c r="N43" i="7" s="1"/>
  <c r="O29" i="6"/>
  <c r="O30" i="6" s="1"/>
  <c r="M31" i="6" s="1"/>
  <c r="N44" i="6" l="1"/>
  <c r="F15" i="8" s="1"/>
  <c r="M32" i="7"/>
  <c r="E5" i="8" s="1"/>
  <c r="O40" i="6"/>
  <c r="F16" i="8" s="1"/>
  <c r="N44" i="7"/>
  <c r="F5" i="8" s="1"/>
  <c r="N20" i="7"/>
  <c r="D5" i="8" s="1"/>
  <c r="I5" i="8" s="1"/>
  <c r="M32" i="6"/>
  <c r="E15" i="8" s="1"/>
  <c r="L64" i="6"/>
  <c r="O28" i="7"/>
  <c r="E6" i="8" s="1"/>
  <c r="O16" i="7"/>
  <c r="D6" i="8" s="1"/>
  <c r="O40" i="7"/>
  <c r="F6" i="8" s="1"/>
  <c r="O28" i="6"/>
  <c r="E16" i="8" s="1"/>
  <c r="O52" i="6"/>
  <c r="G16" i="8" s="1"/>
  <c r="O16" i="6"/>
  <c r="D16" i="8" s="1"/>
  <c r="M62" i="6"/>
  <c r="D15" i="8"/>
  <c r="N62" i="6"/>
  <c r="I6" i="8" l="1"/>
  <c r="M65" i="6"/>
  <c r="M66" i="6" s="1"/>
  <c r="K67" i="6" s="1"/>
  <c r="K68" i="6" s="1"/>
  <c r="M64" i="6" l="1"/>
  <c r="N65" i="6" s="1"/>
  <c r="N66" i="6" s="1"/>
  <c r="L67" i="6" s="1"/>
  <c r="L68" i="6" s="1"/>
  <c r="N64" i="6" l="1"/>
  <c r="O65" i="6"/>
  <c r="O66" i="6" s="1"/>
  <c r="M67" i="6" s="1"/>
  <c r="M68" i="6" s="1"/>
  <c r="H15" i="8" s="1"/>
  <c r="I15" i="8" s="1"/>
  <c r="I21" i="8" s="1"/>
  <c r="O64" i="6" l="1"/>
  <c r="H16" i="8" s="1"/>
  <c r="I16" i="8" s="1"/>
  <c r="I22" i="8" s="1"/>
  <c r="J14" i="4" l="1"/>
  <c r="J13" i="4"/>
  <c r="J15" i="4"/>
  <c r="J12" i="4"/>
  <c r="J16" i="4"/>
</calcChain>
</file>

<file path=xl/sharedStrings.xml><?xml version="1.0" encoding="utf-8"?>
<sst xmlns="http://schemas.openxmlformats.org/spreadsheetml/2006/main" count="462" uniqueCount="173">
  <si>
    <t>Lot size: 10</t>
  </si>
  <si>
    <t>Item: WW Mud</t>
  </si>
  <si>
    <t>Item: Mt Dredge</t>
  </si>
  <si>
    <t>Lot size: 75</t>
  </si>
  <si>
    <t>Item: T Terror</t>
  </si>
  <si>
    <t>Lot size: 91</t>
  </si>
  <si>
    <t>Item: Boxes</t>
  </si>
  <si>
    <t>Item: Labels</t>
  </si>
  <si>
    <t>Lot size: 100</t>
  </si>
  <si>
    <t>Item: Deep South</t>
  </si>
  <si>
    <t>LLC: 2</t>
  </si>
  <si>
    <t>Item: Agusta Aug</t>
  </si>
  <si>
    <t>Lot size: 40</t>
  </si>
  <si>
    <t>Item: Mer. Mb</t>
  </si>
  <si>
    <t>Lot size: 20</t>
  </si>
  <si>
    <t>Item: T Tornado</t>
  </si>
  <si>
    <t>Capital Costs</t>
  </si>
  <si>
    <t>Subcontract</t>
  </si>
  <si>
    <t>Quarter Capital Cost</t>
  </si>
  <si>
    <t>A. Augsbarge</t>
  </si>
  <si>
    <t>M. Mothball</t>
  </si>
  <si>
    <t>T. Tornado</t>
  </si>
  <si>
    <t>Boxes</t>
  </si>
  <si>
    <t>Labels</t>
  </si>
  <si>
    <t>Quarter Inventory Cost</t>
  </si>
  <si>
    <t>WW Mud</t>
  </si>
  <si>
    <t>Mt. Dredge</t>
  </si>
  <si>
    <t>T. Terror</t>
  </si>
  <si>
    <t xml:space="preserve">Expediting Costs </t>
  </si>
  <si>
    <t>Subcontracting Cost</t>
  </si>
  <si>
    <t>Expediting Costs</t>
  </si>
  <si>
    <t>Subcontracting Costs</t>
  </si>
  <si>
    <t>Expediting Cost</t>
  </si>
  <si>
    <t>Over/Under Capacity</t>
  </si>
  <si>
    <t>NW Grunge (50% Demand)</t>
  </si>
  <si>
    <t>Deep South (50% Demand)</t>
  </si>
  <si>
    <t>Q1 Demand</t>
  </si>
  <si>
    <t xml:space="preserve">Capital Costs per week are the amounts multiplied by their respective unit costs given. </t>
  </si>
  <si>
    <t>Subcontracting Costs are the amounts of the samplers past due multiplied by four times the unit cost</t>
  </si>
  <si>
    <t xml:space="preserve">Expediting Costs are the amounts of the items incorporated into the sampler that is past due times twice the unit cost given. </t>
  </si>
  <si>
    <t>Northwest Grunge Sampler-includes boxes and labels</t>
  </si>
  <si>
    <t>The # produced, e.g., the values in cells C40:C43, really are irrelevant after deciding on how many workers optimizes the plan.</t>
  </si>
  <si>
    <t>For example in the Hybrid Strategy, the value in cell E45 is what we really need to look at in regards to production, making sure it meets or exceeds cell B45</t>
  </si>
  <si>
    <t>FINANCE REPORT</t>
  </si>
  <si>
    <t>Credit must be given to Shane Bass as this template was developed from his original model - a few modifications have been made by the professor</t>
  </si>
  <si>
    <t>us total units produced, subsequently hiring and firing costs as well as inventory costs are then calculated.</t>
  </si>
  <si>
    <t>Notes applicable to all strategies:</t>
  </si>
  <si>
    <t>In essence, we wish to optimize the amount of workers, e.g., the values in cells E40:E43, the number of workers multiplied by the number of units/worker gives</t>
  </si>
  <si>
    <t>Q1</t>
  </si>
  <si>
    <t>Q2</t>
  </si>
  <si>
    <t>Q3</t>
  </si>
  <si>
    <t>Q4</t>
  </si>
  <si>
    <t>Needed</t>
  </si>
  <si>
    <t>Produced</t>
  </si>
  <si>
    <t>Hire</t>
  </si>
  <si>
    <t>Fire</t>
  </si>
  <si>
    <t>Wrks Nd'd</t>
  </si>
  <si>
    <t>Level</t>
  </si>
  <si>
    <t>Begin Wrks</t>
  </si>
  <si>
    <t>Ttl Wrks</t>
  </si>
  <si>
    <t>inv. Cst</t>
  </si>
  <si>
    <t>Total Cost</t>
  </si>
  <si>
    <t>Inv.</t>
  </si>
  <si>
    <t>Inv. Cst</t>
  </si>
  <si>
    <t>Hire Cost</t>
  </si>
  <si>
    <t>Fire Cost</t>
  </si>
  <si>
    <t>Prod./Wrkr</t>
  </si>
  <si>
    <t>Chase</t>
  </si>
  <si>
    <t>Hybrid</t>
  </si>
  <si>
    <t>MPS</t>
  </si>
  <si>
    <t>Weeks In Quarter</t>
  </si>
  <si>
    <t>NW Grunge</t>
  </si>
  <si>
    <t>Deep South</t>
  </si>
  <si>
    <t>Production</t>
  </si>
  <si>
    <t>LLC: 0</t>
  </si>
  <si>
    <t>Period</t>
  </si>
  <si>
    <t>Lot size: 1</t>
  </si>
  <si>
    <t>PD</t>
  </si>
  <si>
    <t>Gross requirements</t>
  </si>
  <si>
    <t>Scheduled receipts</t>
  </si>
  <si>
    <t>Projected on hand</t>
  </si>
  <si>
    <t>Net requirements</t>
  </si>
  <si>
    <t>Planned order receipts</t>
  </si>
  <si>
    <t>Planned order releases</t>
  </si>
  <si>
    <t>Item: Grunge</t>
  </si>
  <si>
    <t>LT: 2</t>
  </si>
  <si>
    <t>LLC: 1</t>
  </si>
  <si>
    <t>LT: 1</t>
  </si>
  <si>
    <t>Total Sub</t>
  </si>
  <si>
    <t>Total Exp</t>
  </si>
  <si>
    <t>Sequence</t>
  </si>
  <si>
    <t>1ES</t>
  </si>
  <si>
    <t>1EF</t>
  </si>
  <si>
    <t>2ES</t>
  </si>
  <si>
    <t>2EF</t>
  </si>
  <si>
    <t>3ES</t>
  </si>
  <si>
    <t>3EF</t>
  </si>
  <si>
    <t>A</t>
  </si>
  <si>
    <t>H</t>
  </si>
  <si>
    <t>F</t>
  </si>
  <si>
    <t>D</t>
  </si>
  <si>
    <t>B</t>
  </si>
  <si>
    <t>O</t>
  </si>
  <si>
    <t>K</t>
  </si>
  <si>
    <t>T</t>
  </si>
  <si>
    <t>#1</t>
  </si>
  <si>
    <t>#2</t>
  </si>
  <si>
    <t>#3</t>
  </si>
  <si>
    <t>IDLE1</t>
  </si>
  <si>
    <t>IDLE2</t>
  </si>
  <si>
    <t>IDLE3</t>
  </si>
  <si>
    <t>IDLE4</t>
  </si>
  <si>
    <t>IDLE5</t>
  </si>
  <si>
    <t>IDLE6</t>
  </si>
  <si>
    <t>IDLE7</t>
  </si>
  <si>
    <t>IDLE8</t>
  </si>
  <si>
    <t>S24</t>
  </si>
  <si>
    <t>CD</t>
  </si>
  <si>
    <t>FB</t>
  </si>
  <si>
    <t>ED</t>
  </si>
  <si>
    <t>GS</t>
  </si>
  <si>
    <t>RR</t>
  </si>
  <si>
    <t>JS</t>
  </si>
  <si>
    <t>NS</t>
  </si>
  <si>
    <t>IDLE2START</t>
  </si>
  <si>
    <t>IDLE3START</t>
  </si>
  <si>
    <t>IDLE2A</t>
  </si>
  <si>
    <t>IDLE2B</t>
  </si>
  <si>
    <t>IDLE2C</t>
  </si>
  <si>
    <t>IDLE3E</t>
  </si>
  <si>
    <t>IDLE1END</t>
  </si>
  <si>
    <t>IDLE2D</t>
  </si>
  <si>
    <t>IDLE3F</t>
  </si>
  <si>
    <t>IDLE2E</t>
  </si>
  <si>
    <t>IDLE3G</t>
  </si>
  <si>
    <t>IDLE2F</t>
  </si>
  <si>
    <t>IDLE2END</t>
  </si>
  <si>
    <t>IDLE2G</t>
  </si>
  <si>
    <t>IDLE3A</t>
  </si>
  <si>
    <t>IDLE3D</t>
  </si>
  <si>
    <t>IDLE3C</t>
  </si>
  <si>
    <t>IDLE3B</t>
  </si>
  <si>
    <t>SU</t>
  </si>
  <si>
    <t>Cc</t>
  </si>
  <si>
    <t>cost</t>
  </si>
  <si>
    <t>Totals</t>
  </si>
  <si>
    <t>???</t>
  </si>
  <si>
    <t>Year</t>
  </si>
  <si>
    <t>Demand</t>
  </si>
  <si>
    <t>Naïve</t>
  </si>
  <si>
    <t>3-YrMA</t>
  </si>
  <si>
    <t>5-YrMA</t>
  </si>
  <si>
    <t>Naïve ABErr</t>
  </si>
  <si>
    <t>3MA-AbsErr</t>
  </si>
  <si>
    <t>5MA-AbsErr</t>
  </si>
  <si>
    <t>MAD</t>
  </si>
  <si>
    <t>4/15</t>
  </si>
  <si>
    <t>7/30</t>
  </si>
  <si>
    <t>1/3</t>
  </si>
  <si>
    <t>% by Quarter</t>
  </si>
  <si>
    <t>Capacity</t>
  </si>
  <si>
    <t>Over/Under</t>
  </si>
  <si>
    <t>5MA has lowest MAD so choose 5MA as model and forecast</t>
  </si>
  <si>
    <t>Deep South Sampler</t>
  </si>
  <si>
    <t>Exp. And Sub. Totals</t>
  </si>
  <si>
    <t>Total Cap Costs</t>
  </si>
  <si>
    <t>Total Inv Costs</t>
  </si>
  <si>
    <t>Deep South Total</t>
  </si>
  <si>
    <t>NW Total</t>
  </si>
  <si>
    <t>322 is best (lowest) time in system so this sequence is best.</t>
  </si>
  <si>
    <t>1/6</t>
  </si>
  <si>
    <t>You use the Q1 demand from your lowest cost Hybrid plan to create your MPS.  This is a critial link in the Exam.</t>
  </si>
  <si>
    <t>Again, you need to use your Q1 demand from your lowest cost Hybrid APP to create your 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</si>
</sst>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quot;$&quot;#,##0.00"/>
    <numFmt numFmtId="165" formatCode="0;[Red]0"/>
    <numFmt numFmtId="166" formatCode="0_);[Red]\(0\)"/>
    <numFmt numFmtId="167" formatCode="0.0"/>
  </numFmts>
  <fonts count="28" x14ac:knownFonts="1">
    <font>
      <sz val="10"/>
      <name val="Times New Roman"/>
    </font>
    <font>
      <b/>
      <sz val="10"/>
      <name val="Times New Roman"/>
      <family val="1"/>
    </font>
    <font>
      <sz val="10"/>
      <name val="Times New Roman"/>
      <family val="1"/>
    </font>
    <font>
      <sz val="8"/>
      <name val="Times New Roman"/>
      <family val="1"/>
    </font>
    <font>
      <sz val="10"/>
      <color indexed="10"/>
      <name val="Times New Roman"/>
      <family val="1"/>
    </font>
    <font>
      <b/>
      <u/>
      <sz val="10"/>
      <color indexed="12"/>
      <name val="Times New Roman"/>
      <family val="1"/>
    </font>
    <font>
      <b/>
      <sz val="10"/>
      <name val="Times New Roman"/>
      <family val="1"/>
    </font>
    <font>
      <sz val="10"/>
      <color indexed="10"/>
      <name val="Times New Roman"/>
      <family val="1"/>
    </font>
    <font>
      <sz val="18"/>
      <color indexed="8"/>
      <name val="Times New Roman"/>
      <family val="1"/>
    </font>
    <font>
      <sz val="18"/>
      <color indexed="10"/>
      <name val="Times New Roman"/>
      <family val="1"/>
    </font>
    <font>
      <sz val="18"/>
      <name val="Times New Roman"/>
      <family val="1"/>
    </font>
    <font>
      <b/>
      <u/>
      <sz val="22"/>
      <name val="Times New Roman"/>
      <family val="1"/>
    </font>
    <font>
      <sz val="10"/>
      <name val="Times New Roman"/>
      <family val="1"/>
    </font>
    <font>
      <b/>
      <sz val="18"/>
      <name val="Times New Roman"/>
      <family val="1"/>
    </font>
    <font>
      <b/>
      <sz val="18"/>
      <color indexed="8"/>
      <name val="Times New Roman"/>
      <family val="1"/>
    </font>
    <font>
      <b/>
      <sz val="22"/>
      <name val="Times New Roman"/>
      <family val="1"/>
    </font>
    <font>
      <sz val="18"/>
      <color indexed="10"/>
      <name val="Times New Roman"/>
      <family val="1"/>
    </font>
    <font>
      <sz val="22"/>
      <name val="Times New Roman"/>
      <family val="1"/>
    </font>
    <font>
      <sz val="16"/>
      <name val="Times New Roman"/>
      <family val="1"/>
    </font>
    <font>
      <sz val="9"/>
      <name val="Times New Roman"/>
      <family val="1"/>
    </font>
    <font>
      <sz val="20"/>
      <name val="Times New Roman"/>
      <family val="1"/>
    </font>
    <font>
      <b/>
      <u/>
      <sz val="10"/>
      <name val="Times New Roman"/>
      <family val="1"/>
    </font>
    <font>
      <sz val="10"/>
      <color rgb="FFFF0000"/>
      <name val="Times New Roman"/>
      <family val="1"/>
    </font>
    <font>
      <b/>
      <u/>
      <sz val="10"/>
      <color rgb="FFFF0000"/>
      <name val="Times New Roman"/>
      <family val="1"/>
    </font>
    <font>
      <b/>
      <sz val="10"/>
      <color rgb="FFFF0000"/>
      <name val="Times New Roman"/>
      <family val="1"/>
    </font>
    <font>
      <b/>
      <sz val="18"/>
      <color rgb="FFFF0000"/>
      <name val="Times New Roman"/>
      <family val="1"/>
    </font>
    <font>
      <sz val="18"/>
      <color theme="7"/>
      <name val="Times New Roman"/>
      <family val="1"/>
    </font>
    <font>
      <sz val="22"/>
      <color theme="7"/>
      <name val="Times New Roman"/>
      <family val="1"/>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6D6D6D"/>
      </left>
      <right style="medium">
        <color rgb="FF6D6D6D"/>
      </right>
      <top style="medium">
        <color rgb="FF6D6D6D"/>
      </top>
      <bottom style="medium">
        <color rgb="FF6D6D6D"/>
      </bottom>
      <diagonal/>
    </border>
    <border>
      <left/>
      <right style="medium">
        <color rgb="FF6D6D6D"/>
      </right>
      <top style="medium">
        <color rgb="FF6D6D6D"/>
      </top>
      <bottom style="medium">
        <color rgb="FF6D6D6D"/>
      </bottom>
      <diagonal/>
    </border>
    <border>
      <left style="medium">
        <color rgb="FF6D6D6D"/>
      </left>
      <right style="medium">
        <color rgb="FF6D6D6D"/>
      </right>
      <top/>
      <bottom style="medium">
        <color rgb="FF6D6D6D"/>
      </bottom>
      <diagonal/>
    </border>
    <border>
      <left/>
      <right style="medium">
        <color rgb="FF6D6D6D"/>
      </right>
      <top/>
      <bottom style="medium">
        <color rgb="FF6D6D6D"/>
      </bottom>
      <diagonal/>
    </border>
  </borders>
  <cellStyleXfs count="1">
    <xf numFmtId="0" fontId="0" fillId="0" borderId="0"/>
  </cellStyleXfs>
  <cellXfs count="136">
    <xf numFmtId="0" fontId="0" fillId="0" borderId="0" xfId="0"/>
    <xf numFmtId="0" fontId="0" fillId="0" borderId="0" xfId="0" applyFill="1"/>
    <xf numFmtId="164" fontId="0" fillId="0" borderId="0" xfId="0" applyNumberFormat="1"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164" fontId="0" fillId="2" borderId="5" xfId="0" applyNumberFormat="1" applyFill="1" applyBorder="1"/>
    <xf numFmtId="0" fontId="0" fillId="2" borderId="6" xfId="0" applyFill="1" applyBorder="1"/>
    <xf numFmtId="0" fontId="0" fillId="2" borderId="7" xfId="0" applyFill="1" applyBorder="1"/>
    <xf numFmtId="164" fontId="0" fillId="2" borderId="8" xfId="0" applyNumberFormat="1" applyFill="1" applyBorder="1"/>
    <xf numFmtId="0" fontId="0" fillId="2" borderId="1"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9" xfId="0" applyFill="1" applyBorder="1" applyAlignment="1">
      <alignment horizontal="center"/>
    </xf>
    <xf numFmtId="164" fontId="0" fillId="2" borderId="10" xfId="0" applyNumberFormat="1" applyFill="1" applyBorder="1" applyAlignment="1">
      <alignment horizontal="center"/>
    </xf>
    <xf numFmtId="0" fontId="0" fillId="2" borderId="11" xfId="0" applyFill="1" applyBorder="1" applyAlignment="1">
      <alignment horizontal="center"/>
    </xf>
    <xf numFmtId="164" fontId="0" fillId="2" borderId="12" xfId="0" applyNumberFormat="1" applyFill="1" applyBorder="1" applyAlignment="1">
      <alignment horizontal="center"/>
    </xf>
    <xf numFmtId="0" fontId="0" fillId="2" borderId="13" xfId="0" applyFill="1" applyBorder="1" applyAlignment="1">
      <alignment horizontal="center"/>
    </xf>
    <xf numFmtId="0" fontId="0" fillId="2" borderId="12" xfId="0" applyFill="1" applyBorder="1" applyAlignment="1">
      <alignment horizontal="center"/>
    </xf>
    <xf numFmtId="0" fontId="0" fillId="0" borderId="0" xfId="0" applyFill="1" applyBorder="1" applyAlignment="1">
      <alignment horizontal="center"/>
    </xf>
    <xf numFmtId="0" fontId="5" fillId="2" borderId="4" xfId="0" applyFont="1" applyFill="1" applyBorder="1"/>
    <xf numFmtId="0" fontId="0" fillId="2" borderId="5" xfId="0" applyFill="1" applyBorder="1" applyAlignment="1">
      <alignment horizontal="right"/>
    </xf>
    <xf numFmtId="0" fontId="4" fillId="2" borderId="0" xfId="0" applyFont="1" applyFill="1" applyBorder="1" applyAlignment="1">
      <alignment horizontal="center"/>
    </xf>
    <xf numFmtId="2" fontId="0" fillId="2" borderId="0" xfId="0" applyNumberFormat="1" applyFill="1" applyBorder="1" applyAlignment="1">
      <alignment horizontal="center"/>
    </xf>
    <xf numFmtId="0" fontId="0" fillId="0" borderId="0" xfId="0" applyFill="1" applyBorder="1"/>
    <xf numFmtId="2" fontId="0" fillId="0" borderId="0" xfId="0" applyNumberFormat="1" applyFill="1" applyBorder="1" applyAlignment="1">
      <alignment horizontal="center"/>
    </xf>
    <xf numFmtId="164" fontId="0" fillId="0" borderId="0" xfId="0" applyNumberFormat="1" applyFill="1" applyBorder="1" applyAlignment="1">
      <alignment horizontal="center"/>
    </xf>
    <xf numFmtId="0" fontId="2" fillId="0" borderId="0" xfId="0" applyFont="1" applyFill="1" applyBorder="1" applyAlignment="1">
      <alignment horizontal="center"/>
    </xf>
    <xf numFmtId="0" fontId="5" fillId="0" borderId="0" xfId="0" applyFont="1" applyFill="1" applyBorder="1"/>
    <xf numFmtId="0" fontId="0" fillId="0" borderId="0" xfId="0" applyFill="1" applyBorder="1" applyAlignment="1">
      <alignment horizontal="right"/>
    </xf>
    <xf numFmtId="164" fontId="0" fillId="0" borderId="0" xfId="0" applyNumberFormat="1" applyFill="1" applyBorder="1"/>
    <xf numFmtId="164" fontId="2" fillId="0" borderId="0" xfId="0" applyNumberFormat="1" applyFont="1" applyFill="1" applyBorder="1"/>
    <xf numFmtId="0" fontId="0" fillId="0" borderId="0" xfId="0" applyAlignment="1">
      <alignment horizontal="center"/>
    </xf>
    <xf numFmtId="0" fontId="2" fillId="0" borderId="0" xfId="0" applyFont="1"/>
    <xf numFmtId="164" fontId="0" fillId="2" borderId="7" xfId="0" applyNumberFormat="1" applyFill="1" applyBorder="1" applyAlignment="1">
      <alignment horizontal="center"/>
    </xf>
    <xf numFmtId="0" fontId="0" fillId="2" borderId="7" xfId="0" applyFill="1" applyBorder="1" applyAlignment="1">
      <alignment horizontal="center"/>
    </xf>
    <xf numFmtId="0" fontId="6" fillId="0" borderId="14" xfId="0" applyFont="1" applyFill="1" applyBorder="1" applyAlignment="1">
      <alignment horizontal="center"/>
    </xf>
    <xf numFmtId="0" fontId="8" fillId="0" borderId="0" xfId="0" applyFont="1" applyBorder="1"/>
    <xf numFmtId="0" fontId="8" fillId="0" borderId="15" xfId="0" applyFont="1" applyBorder="1"/>
    <xf numFmtId="0" fontId="8" fillId="0" borderId="16" xfId="0" applyFont="1" applyBorder="1"/>
    <xf numFmtId="166" fontId="8" fillId="0" borderId="0" xfId="0" applyNumberFormat="1" applyFont="1" applyBorder="1"/>
    <xf numFmtId="0" fontId="8" fillId="0" borderId="0" xfId="0" applyFont="1" applyFill="1" applyBorder="1"/>
    <xf numFmtId="0" fontId="8" fillId="0" borderId="0" xfId="0" applyFont="1"/>
    <xf numFmtId="0" fontId="9" fillId="0" borderId="15" xfId="0" applyFont="1" applyBorder="1"/>
    <xf numFmtId="0" fontId="9" fillId="0" borderId="0" xfId="0" applyFont="1" applyBorder="1"/>
    <xf numFmtId="0" fontId="8" fillId="0" borderId="17" xfId="0" applyFont="1" applyBorder="1"/>
    <xf numFmtId="0" fontId="10" fillId="0" borderId="0" xfId="0" applyFont="1"/>
    <xf numFmtId="164" fontId="8" fillId="0" borderId="0" xfId="0" applyNumberFormat="1" applyFont="1" applyFill="1" applyBorder="1"/>
    <xf numFmtId="164" fontId="0" fillId="0" borderId="0" xfId="0" applyNumberFormat="1"/>
    <xf numFmtId="8" fontId="8" fillId="0" borderId="0" xfId="0" applyNumberFormat="1" applyFont="1" applyBorder="1"/>
    <xf numFmtId="164" fontId="10" fillId="0" borderId="0" xfId="0" applyNumberFormat="1" applyFont="1"/>
    <xf numFmtId="8" fontId="10" fillId="0" borderId="0" xfId="0" applyNumberFormat="1" applyFont="1"/>
    <xf numFmtId="0" fontId="4" fillId="0" borderId="0" xfId="0" applyFont="1"/>
    <xf numFmtId="164" fontId="4" fillId="0" borderId="0" xfId="0" applyNumberFormat="1" applyFont="1"/>
    <xf numFmtId="0" fontId="8" fillId="0" borderId="0" xfId="0" applyFont="1" applyFill="1" applyBorder="1" applyAlignment="1">
      <alignment horizontal="center"/>
    </xf>
    <xf numFmtId="8" fontId="10" fillId="0" borderId="0" xfId="0" applyNumberFormat="1" applyFont="1" applyAlignment="1">
      <alignment horizontal="center"/>
    </xf>
    <xf numFmtId="164" fontId="10" fillId="0" borderId="0" xfId="0" applyNumberFormat="1" applyFont="1" applyFill="1" applyBorder="1" applyAlignment="1">
      <alignment horizontal="center"/>
    </xf>
    <xf numFmtId="8" fontId="8" fillId="0" borderId="0" xfId="0" applyNumberFormat="1" applyFont="1" applyBorder="1" applyAlignment="1">
      <alignment horizontal="center"/>
    </xf>
    <xf numFmtId="0" fontId="11" fillId="0" borderId="0" xfId="0" applyFont="1"/>
    <xf numFmtId="0" fontId="10" fillId="0" borderId="0" xfId="0" applyFont="1" applyBorder="1"/>
    <xf numFmtId="0" fontId="12" fillId="0" borderId="0" xfId="0" applyFont="1"/>
    <xf numFmtId="0" fontId="10" fillId="0" borderId="15" xfId="0" applyFont="1" applyBorder="1"/>
    <xf numFmtId="0" fontId="10" fillId="0" borderId="16" xfId="0" applyFont="1" applyBorder="1"/>
    <xf numFmtId="164" fontId="12" fillId="0" borderId="0" xfId="0" applyNumberFormat="1" applyFont="1"/>
    <xf numFmtId="166" fontId="10" fillId="0" borderId="0" xfId="0" applyNumberFormat="1" applyFont="1" applyBorder="1"/>
    <xf numFmtId="8" fontId="10" fillId="0" borderId="0" xfId="0" applyNumberFormat="1" applyFont="1" applyBorder="1"/>
    <xf numFmtId="0" fontId="10" fillId="0" borderId="0" xfId="0" applyFont="1" applyFill="1" applyBorder="1"/>
    <xf numFmtId="0" fontId="10" fillId="0" borderId="17" xfId="0" applyFont="1" applyBorder="1"/>
    <xf numFmtId="164" fontId="10" fillId="0" borderId="0" xfId="0" applyNumberFormat="1" applyFont="1" applyFill="1" applyBorder="1"/>
    <xf numFmtId="0" fontId="13" fillId="0" borderId="0" xfId="0" applyFont="1" applyFill="1" applyBorder="1"/>
    <xf numFmtId="0" fontId="13" fillId="0" borderId="0" xfId="0" applyFont="1" applyBorder="1"/>
    <xf numFmtId="0" fontId="14" fillId="0" borderId="0" xfId="0" applyFont="1" applyBorder="1"/>
    <xf numFmtId="0" fontId="0" fillId="0" borderId="0" xfId="0" applyAlignment="1">
      <alignment horizontal="right"/>
    </xf>
    <xf numFmtId="0" fontId="0" fillId="0" borderId="18" xfId="0" applyBorder="1" applyAlignment="1">
      <alignment horizontal="center"/>
    </xf>
    <xf numFmtId="0" fontId="0" fillId="0" borderId="19" xfId="0" applyBorder="1" applyAlignment="1">
      <alignment horizontal="center"/>
    </xf>
    <xf numFmtId="0" fontId="0" fillId="0" borderId="6" xfId="0" applyFill="1" applyBorder="1"/>
    <xf numFmtId="0" fontId="0" fillId="0" borderId="8" xfId="0" applyBorder="1"/>
    <xf numFmtId="0" fontId="0" fillId="0" borderId="20" xfId="0" applyBorder="1"/>
    <xf numFmtId="0" fontId="0" fillId="0" borderId="21" xfId="0" applyBorder="1"/>
    <xf numFmtId="0" fontId="0" fillId="0" borderId="14" xfId="0" applyBorder="1" applyAlignment="1">
      <alignment horizontal="center"/>
    </xf>
    <xf numFmtId="0" fontId="0" fillId="0" borderId="14" xfId="0" applyFill="1" applyBorder="1" applyAlignment="1">
      <alignment horizontal="center"/>
    </xf>
    <xf numFmtId="0" fontId="0" fillId="0" borderId="14" xfId="0" applyBorder="1"/>
    <xf numFmtId="0" fontId="0" fillId="0" borderId="0" xfId="0" applyBorder="1"/>
    <xf numFmtId="0" fontId="15" fillId="0" borderId="0" xfId="0" applyFont="1"/>
    <xf numFmtId="0" fontId="10" fillId="3" borderId="15" xfId="0" applyFont="1" applyFill="1" applyBorder="1"/>
    <xf numFmtId="0" fontId="10" fillId="0" borderId="9" xfId="0" applyFont="1" applyBorder="1"/>
    <xf numFmtId="0" fontId="8" fillId="3" borderId="15" xfId="0" applyFont="1" applyFill="1" applyBorder="1"/>
    <xf numFmtId="0" fontId="8" fillId="0" borderId="9" xfId="0" applyFont="1" applyBorder="1"/>
    <xf numFmtId="8" fontId="9" fillId="0" borderId="0" xfId="0" applyNumberFormat="1" applyFont="1" applyBorder="1"/>
    <xf numFmtId="8" fontId="16" fillId="0" borderId="0" xfId="0" applyNumberFormat="1" applyFont="1" applyBorder="1"/>
    <xf numFmtId="0" fontId="7" fillId="0" borderId="0" xfId="0" applyFont="1" applyFill="1" applyBorder="1"/>
    <xf numFmtId="165" fontId="0" fillId="0" borderId="0" xfId="0" applyNumberFormat="1" applyFill="1" applyBorder="1" applyAlignment="1">
      <alignment horizontal="center"/>
    </xf>
    <xf numFmtId="0" fontId="17" fillId="0" borderId="0" xfId="0" applyFont="1"/>
    <xf numFmtId="0" fontId="18" fillId="0" borderId="0" xfId="0" applyFont="1"/>
    <xf numFmtId="0" fontId="1" fillId="0" borderId="0" xfId="0" applyFont="1"/>
    <xf numFmtId="0" fontId="1" fillId="2" borderId="0" xfId="0" applyFont="1" applyFill="1" applyBorder="1" applyAlignment="1">
      <alignment horizontal="center"/>
    </xf>
    <xf numFmtId="8" fontId="8" fillId="0" borderId="0" xfId="0" applyNumberFormat="1" applyFont="1" applyFill="1" applyBorder="1"/>
    <xf numFmtId="167" fontId="0" fillId="0" borderId="0" xfId="0" applyNumberFormat="1"/>
    <xf numFmtId="0" fontId="19" fillId="0" borderId="0" xfId="0" applyFont="1"/>
    <xf numFmtId="0" fontId="19" fillId="0" borderId="0" xfId="0" quotePrefix="1" applyFont="1" applyAlignment="1">
      <alignment horizontal="left"/>
    </xf>
    <xf numFmtId="8" fontId="20" fillId="0" borderId="0" xfId="0" applyNumberFormat="1" applyFont="1"/>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2" fontId="1" fillId="0" borderId="0" xfId="0" quotePrefix="1" applyNumberFormat="1" applyFont="1" applyFill="1" applyAlignment="1">
      <alignment horizontal="center"/>
    </xf>
    <xf numFmtId="0" fontId="21" fillId="0" borderId="0" xfId="0" applyFont="1" applyFill="1"/>
    <xf numFmtId="0" fontId="22" fillId="0" borderId="0" xfId="0" applyFont="1"/>
    <xf numFmtId="0" fontId="23" fillId="0" borderId="0" xfId="0" applyFont="1" applyFill="1" applyBorder="1"/>
    <xf numFmtId="0" fontId="24" fillId="0" borderId="0" xfId="0" applyFont="1"/>
    <xf numFmtId="0" fontId="25" fillId="0" borderId="0" xfId="0" applyFont="1" applyBorder="1"/>
    <xf numFmtId="0" fontId="14" fillId="0" borderId="0" xfId="0" applyFont="1" applyFill="1" applyBorder="1" applyAlignment="1">
      <alignment horizontal="center"/>
    </xf>
    <xf numFmtId="0" fontId="6" fillId="0" borderId="0" xfId="0" applyFont="1"/>
    <xf numFmtId="8" fontId="13" fillId="0" borderId="0" xfId="0" applyNumberFormat="1" applyFont="1"/>
    <xf numFmtId="0" fontId="14" fillId="0" borderId="0" xfId="0" applyFont="1" applyFill="1" applyBorder="1"/>
    <xf numFmtId="0" fontId="25" fillId="0" borderId="0" xfId="0" applyFont="1"/>
    <xf numFmtId="8" fontId="25" fillId="0" borderId="0" xfId="0" applyNumberFormat="1" applyFont="1"/>
    <xf numFmtId="8" fontId="26" fillId="0" borderId="0" xfId="0" applyNumberFormat="1" applyFont="1" applyAlignment="1">
      <alignment horizontal="center"/>
    </xf>
    <xf numFmtId="8" fontId="27" fillId="0" borderId="0" xfId="0" applyNumberFormat="1" applyFont="1" applyBorder="1"/>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0" fillId="0" borderId="21" xfId="0" applyBorder="1" applyAlignment="1">
      <alignment horizontal="center"/>
    </xf>
    <xf numFmtId="0" fontId="8" fillId="0" borderId="9" xfId="0" applyFont="1" applyBorder="1"/>
    <xf numFmtId="0" fontId="8" fillId="0" borderId="17" xfId="0" applyFont="1" applyBorder="1"/>
    <xf numFmtId="0" fontId="10" fillId="0" borderId="16" xfId="0" applyFont="1" applyBorder="1"/>
    <xf numFmtId="0" fontId="10" fillId="0" borderId="17" xfId="0" applyFont="1" applyBorder="1"/>
    <xf numFmtId="0" fontId="23"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00119470052244E-2"/>
          <c:y val="0.13677892749648263"/>
          <c:w val="0.87462063800574208"/>
          <c:h val="0.58359009065165879"/>
        </c:manualLayout>
      </c:layout>
      <c:barChart>
        <c:barDir val="bar"/>
        <c:grouping val="stacked"/>
        <c:varyColors val="0"/>
        <c:ser>
          <c:idx val="0"/>
          <c:order val="0"/>
          <c:tx>
            <c:strRef>
              <c:f>'[1]Johnson''s'!$E$26</c:f>
              <c:strCache>
                <c:ptCount val="1"/>
                <c:pt idx="0">
                  <c:v>A</c:v>
                </c:pt>
              </c:strCache>
            </c:strRef>
          </c:tx>
          <c:spPr>
            <a:solidFill>
              <a:srgbClr val="9999FF"/>
            </a:solidFill>
            <a:ln w="12700">
              <a:solidFill>
                <a:srgbClr val="000000"/>
              </a:solidFill>
              <a:prstDash val="solid"/>
            </a:ln>
          </c:spPr>
          <c:invertIfNegative val="0"/>
          <c:cat>
            <c:strRef>
              <c:f>'[1]Johnson''s'!$F$25</c:f>
              <c:strCache>
                <c:ptCount val="1"/>
                <c:pt idx="0">
                  <c:v>#1</c:v>
                </c:pt>
              </c:strCache>
            </c:strRef>
          </c:cat>
          <c:val>
            <c:numRef>
              <c:f>'[1]Johnson''s'!$F$26</c:f>
              <c:numCache>
                <c:formatCode>General</c:formatCode>
                <c:ptCount val="1"/>
                <c:pt idx="0">
                  <c:v>1</c:v>
                </c:pt>
              </c:numCache>
            </c:numRef>
          </c:val>
          <c:extLst>
            <c:ext xmlns:c16="http://schemas.microsoft.com/office/drawing/2014/chart" uri="{C3380CC4-5D6E-409C-BE32-E72D297353CC}">
              <c16:uniqueId val="{00000000-B9EF-6044-A9EF-F42A2BD02D7E}"/>
            </c:ext>
          </c:extLst>
        </c:ser>
        <c:ser>
          <c:idx val="1"/>
          <c:order val="1"/>
          <c:tx>
            <c:strRef>
              <c:f>'[1]Johnson''s'!$E$27</c:f>
              <c:strCache>
                <c:ptCount val="1"/>
                <c:pt idx="0">
                  <c:v>H</c:v>
                </c:pt>
              </c:strCache>
            </c:strRef>
          </c:tx>
          <c:spPr>
            <a:solidFill>
              <a:srgbClr val="993366"/>
            </a:solidFill>
            <a:ln w="12700">
              <a:solidFill>
                <a:srgbClr val="000000"/>
              </a:solidFill>
              <a:prstDash val="solid"/>
            </a:ln>
          </c:spPr>
          <c:invertIfNegative val="0"/>
          <c:cat>
            <c:strRef>
              <c:f>'[1]Johnson''s'!$F$25</c:f>
              <c:strCache>
                <c:ptCount val="1"/>
                <c:pt idx="0">
                  <c:v>#1</c:v>
                </c:pt>
              </c:strCache>
            </c:strRef>
          </c:cat>
          <c:val>
            <c:numRef>
              <c:f>'[1]Johnson''s'!$F$27</c:f>
              <c:numCache>
                <c:formatCode>General</c:formatCode>
                <c:ptCount val="1"/>
                <c:pt idx="0">
                  <c:v>2</c:v>
                </c:pt>
              </c:numCache>
            </c:numRef>
          </c:val>
          <c:extLst>
            <c:ext xmlns:c16="http://schemas.microsoft.com/office/drawing/2014/chart" uri="{C3380CC4-5D6E-409C-BE32-E72D297353CC}">
              <c16:uniqueId val="{00000001-B9EF-6044-A9EF-F42A2BD02D7E}"/>
            </c:ext>
          </c:extLst>
        </c:ser>
        <c:ser>
          <c:idx val="2"/>
          <c:order val="2"/>
          <c:tx>
            <c:strRef>
              <c:f>'[1]Johnson''s'!$E$28</c:f>
              <c:strCache>
                <c:ptCount val="1"/>
                <c:pt idx="0">
                  <c:v>F</c:v>
                </c:pt>
              </c:strCache>
            </c:strRef>
          </c:tx>
          <c:spPr>
            <a:solidFill>
              <a:srgbClr val="FFFFCC"/>
            </a:solidFill>
            <a:ln w="12700">
              <a:solidFill>
                <a:srgbClr val="000000"/>
              </a:solidFill>
              <a:prstDash val="solid"/>
            </a:ln>
          </c:spPr>
          <c:invertIfNegative val="0"/>
          <c:cat>
            <c:strRef>
              <c:f>'[1]Johnson''s'!$F$25</c:f>
              <c:strCache>
                <c:ptCount val="1"/>
                <c:pt idx="0">
                  <c:v>#1</c:v>
                </c:pt>
              </c:strCache>
            </c:strRef>
          </c:cat>
          <c:val>
            <c:numRef>
              <c:f>'[1]Johnson''s'!$F$28</c:f>
              <c:numCache>
                <c:formatCode>General</c:formatCode>
                <c:ptCount val="1"/>
                <c:pt idx="0">
                  <c:v>3</c:v>
                </c:pt>
              </c:numCache>
            </c:numRef>
          </c:val>
          <c:extLst>
            <c:ext xmlns:c16="http://schemas.microsoft.com/office/drawing/2014/chart" uri="{C3380CC4-5D6E-409C-BE32-E72D297353CC}">
              <c16:uniqueId val="{00000002-B9EF-6044-A9EF-F42A2BD02D7E}"/>
            </c:ext>
          </c:extLst>
        </c:ser>
        <c:ser>
          <c:idx val="3"/>
          <c:order val="3"/>
          <c:tx>
            <c:strRef>
              <c:f>'[1]Johnson''s'!$E$29</c:f>
              <c:strCache>
                <c:ptCount val="1"/>
                <c:pt idx="0">
                  <c:v>D</c:v>
                </c:pt>
              </c:strCache>
            </c:strRef>
          </c:tx>
          <c:spPr>
            <a:solidFill>
              <a:srgbClr val="CCFFFF"/>
            </a:solidFill>
            <a:ln w="12700">
              <a:solidFill>
                <a:srgbClr val="000000"/>
              </a:solidFill>
              <a:prstDash val="solid"/>
            </a:ln>
          </c:spPr>
          <c:invertIfNegative val="0"/>
          <c:cat>
            <c:strRef>
              <c:f>'[1]Johnson''s'!$F$25</c:f>
              <c:strCache>
                <c:ptCount val="1"/>
                <c:pt idx="0">
                  <c:v>#1</c:v>
                </c:pt>
              </c:strCache>
            </c:strRef>
          </c:cat>
          <c:val>
            <c:numRef>
              <c:f>'[1]Johnson''s'!$F$29</c:f>
              <c:numCache>
                <c:formatCode>General</c:formatCode>
                <c:ptCount val="1"/>
                <c:pt idx="0">
                  <c:v>5</c:v>
                </c:pt>
              </c:numCache>
            </c:numRef>
          </c:val>
          <c:extLst>
            <c:ext xmlns:c16="http://schemas.microsoft.com/office/drawing/2014/chart" uri="{C3380CC4-5D6E-409C-BE32-E72D297353CC}">
              <c16:uniqueId val="{00000003-B9EF-6044-A9EF-F42A2BD02D7E}"/>
            </c:ext>
          </c:extLst>
        </c:ser>
        <c:ser>
          <c:idx val="4"/>
          <c:order val="4"/>
          <c:tx>
            <c:strRef>
              <c:f>'[1]Johnson''s'!$E$30</c:f>
              <c:strCache>
                <c:ptCount val="1"/>
                <c:pt idx="0">
                  <c:v>B</c:v>
                </c:pt>
              </c:strCache>
            </c:strRef>
          </c:tx>
          <c:spPr>
            <a:solidFill>
              <a:srgbClr val="660066"/>
            </a:solidFill>
            <a:ln w="12700">
              <a:solidFill>
                <a:srgbClr val="000000"/>
              </a:solidFill>
              <a:prstDash val="solid"/>
            </a:ln>
          </c:spPr>
          <c:invertIfNegative val="0"/>
          <c:cat>
            <c:strRef>
              <c:f>'[1]Johnson''s'!$F$25</c:f>
              <c:strCache>
                <c:ptCount val="1"/>
                <c:pt idx="0">
                  <c:v>#1</c:v>
                </c:pt>
              </c:strCache>
            </c:strRef>
          </c:cat>
          <c:val>
            <c:numRef>
              <c:f>'[1]Johnson''s'!$F$30</c:f>
              <c:numCache>
                <c:formatCode>General</c:formatCode>
                <c:ptCount val="1"/>
                <c:pt idx="0">
                  <c:v>5</c:v>
                </c:pt>
              </c:numCache>
            </c:numRef>
          </c:val>
          <c:extLst>
            <c:ext xmlns:c16="http://schemas.microsoft.com/office/drawing/2014/chart" uri="{C3380CC4-5D6E-409C-BE32-E72D297353CC}">
              <c16:uniqueId val="{00000004-B9EF-6044-A9EF-F42A2BD02D7E}"/>
            </c:ext>
          </c:extLst>
        </c:ser>
        <c:ser>
          <c:idx val="5"/>
          <c:order val="5"/>
          <c:tx>
            <c:strRef>
              <c:f>'[1]Johnson''s'!$E$31</c:f>
              <c:strCache>
                <c:ptCount val="1"/>
                <c:pt idx="0">
                  <c:v>O</c:v>
                </c:pt>
              </c:strCache>
            </c:strRef>
          </c:tx>
          <c:spPr>
            <a:solidFill>
              <a:srgbClr val="FF8080"/>
            </a:solidFill>
            <a:ln w="12700">
              <a:solidFill>
                <a:srgbClr val="000000"/>
              </a:solidFill>
              <a:prstDash val="solid"/>
            </a:ln>
          </c:spPr>
          <c:invertIfNegative val="0"/>
          <c:cat>
            <c:strRef>
              <c:f>'[1]Johnson''s'!$F$25</c:f>
              <c:strCache>
                <c:ptCount val="1"/>
                <c:pt idx="0">
                  <c:v>#1</c:v>
                </c:pt>
              </c:strCache>
            </c:strRef>
          </c:cat>
          <c:val>
            <c:numRef>
              <c:f>'[1]Johnson''s'!$F$31</c:f>
              <c:numCache>
                <c:formatCode>General</c:formatCode>
                <c:ptCount val="1"/>
                <c:pt idx="0">
                  <c:v>17</c:v>
                </c:pt>
              </c:numCache>
            </c:numRef>
          </c:val>
          <c:extLst>
            <c:ext xmlns:c16="http://schemas.microsoft.com/office/drawing/2014/chart" uri="{C3380CC4-5D6E-409C-BE32-E72D297353CC}">
              <c16:uniqueId val="{00000005-B9EF-6044-A9EF-F42A2BD02D7E}"/>
            </c:ext>
          </c:extLst>
        </c:ser>
        <c:ser>
          <c:idx val="6"/>
          <c:order val="6"/>
          <c:tx>
            <c:strRef>
              <c:f>'[1]Johnson''s'!$E$32</c:f>
              <c:strCache>
                <c:ptCount val="1"/>
                <c:pt idx="0">
                  <c:v>K</c:v>
                </c:pt>
              </c:strCache>
            </c:strRef>
          </c:tx>
          <c:spPr>
            <a:solidFill>
              <a:srgbClr val="0066CC"/>
            </a:solidFill>
            <a:ln w="12700">
              <a:solidFill>
                <a:srgbClr val="000000"/>
              </a:solidFill>
              <a:prstDash val="solid"/>
            </a:ln>
          </c:spPr>
          <c:invertIfNegative val="0"/>
          <c:cat>
            <c:strRef>
              <c:f>'[1]Johnson''s'!$F$25</c:f>
              <c:strCache>
                <c:ptCount val="1"/>
                <c:pt idx="0">
                  <c:v>#1</c:v>
                </c:pt>
              </c:strCache>
            </c:strRef>
          </c:cat>
          <c:val>
            <c:numRef>
              <c:f>'[1]Johnson''s'!$F$32</c:f>
              <c:numCache>
                <c:formatCode>General</c:formatCode>
                <c:ptCount val="1"/>
                <c:pt idx="0">
                  <c:v>12</c:v>
                </c:pt>
              </c:numCache>
            </c:numRef>
          </c:val>
          <c:extLst>
            <c:ext xmlns:c16="http://schemas.microsoft.com/office/drawing/2014/chart" uri="{C3380CC4-5D6E-409C-BE32-E72D297353CC}">
              <c16:uniqueId val="{00000006-B9EF-6044-A9EF-F42A2BD02D7E}"/>
            </c:ext>
          </c:extLst>
        </c:ser>
        <c:ser>
          <c:idx val="7"/>
          <c:order val="7"/>
          <c:tx>
            <c:strRef>
              <c:f>'[1]Johnson''s'!$E$33</c:f>
              <c:strCache>
                <c:ptCount val="1"/>
                <c:pt idx="0">
                  <c:v>T</c:v>
                </c:pt>
              </c:strCache>
            </c:strRef>
          </c:tx>
          <c:spPr>
            <a:solidFill>
              <a:srgbClr val="CCCCFF"/>
            </a:solidFill>
            <a:ln w="12700">
              <a:solidFill>
                <a:srgbClr val="000000"/>
              </a:solidFill>
              <a:prstDash val="solid"/>
            </a:ln>
          </c:spPr>
          <c:invertIfNegative val="0"/>
          <c:cat>
            <c:strRef>
              <c:f>'[1]Johnson''s'!$F$25</c:f>
              <c:strCache>
                <c:ptCount val="1"/>
                <c:pt idx="0">
                  <c:v>#1</c:v>
                </c:pt>
              </c:strCache>
            </c:strRef>
          </c:cat>
          <c:val>
            <c:numRef>
              <c:f>'[1]Johnson''s'!$F$33</c:f>
              <c:numCache>
                <c:formatCode>General</c:formatCode>
                <c:ptCount val="1"/>
                <c:pt idx="0">
                  <c:v>27</c:v>
                </c:pt>
              </c:numCache>
            </c:numRef>
          </c:val>
          <c:extLst>
            <c:ext xmlns:c16="http://schemas.microsoft.com/office/drawing/2014/chart" uri="{C3380CC4-5D6E-409C-BE32-E72D297353CC}">
              <c16:uniqueId val="{00000007-B9EF-6044-A9EF-F42A2BD02D7E}"/>
            </c:ext>
          </c:extLst>
        </c:ser>
        <c:ser>
          <c:idx val="8"/>
          <c:order val="8"/>
          <c:tx>
            <c:strRef>
              <c:f>'[1]Johnson''s'!$E$34</c:f>
              <c:strCache>
                <c:ptCount val="1"/>
                <c:pt idx="0">
                  <c:v>IDLE1</c:v>
                </c:pt>
              </c:strCache>
            </c:strRef>
          </c:tx>
          <c:spPr>
            <a:noFill/>
            <a:ln w="12700">
              <a:solidFill>
                <a:srgbClr val="000000"/>
              </a:solidFill>
              <a:prstDash val="solid"/>
            </a:ln>
          </c:spPr>
          <c:invertIfNegative val="0"/>
          <c:cat>
            <c:strRef>
              <c:f>'[1]Johnson''s'!$F$25</c:f>
              <c:strCache>
                <c:ptCount val="1"/>
                <c:pt idx="0">
                  <c:v>#1</c:v>
                </c:pt>
              </c:strCache>
            </c:strRef>
          </c:cat>
          <c:val>
            <c:numRef>
              <c:f>'[1]Johnson''s'!$F$34</c:f>
              <c:numCache>
                <c:formatCode>General</c:formatCode>
                <c:ptCount val="1"/>
                <c:pt idx="0">
                  <c:v>32</c:v>
                </c:pt>
              </c:numCache>
            </c:numRef>
          </c:val>
          <c:extLst>
            <c:ext xmlns:c16="http://schemas.microsoft.com/office/drawing/2014/chart" uri="{C3380CC4-5D6E-409C-BE32-E72D297353CC}">
              <c16:uniqueId val="{00000008-B9EF-6044-A9EF-F42A2BD02D7E}"/>
            </c:ext>
          </c:extLst>
        </c:ser>
        <c:dLbls>
          <c:showLegendKey val="0"/>
          <c:showVal val="0"/>
          <c:showCatName val="0"/>
          <c:showSerName val="0"/>
          <c:showPercent val="0"/>
          <c:showBubbleSize val="0"/>
        </c:dLbls>
        <c:gapWidth val="150"/>
        <c:overlap val="100"/>
        <c:axId val="2099209856"/>
        <c:axId val="1"/>
      </c:barChart>
      <c:catAx>
        <c:axId val="20992098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max val="104"/>
          <c:min val="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Times New Roman"/>
                <a:ea typeface="Times New Roman"/>
                <a:cs typeface="Times New Roman"/>
              </a:defRPr>
            </a:pPr>
            <a:endParaRPr lang="en-US"/>
          </a:p>
        </c:txPr>
        <c:crossAx val="2099209856"/>
        <c:crosses val="autoZero"/>
        <c:crossBetween val="between"/>
        <c:majorUnit val="4"/>
      </c:valAx>
      <c:spPr>
        <a:noFill/>
        <a:ln w="12700">
          <a:solidFill>
            <a:srgbClr val="808080"/>
          </a:solidFill>
          <a:prstDash val="solid"/>
        </a:ln>
      </c:spPr>
    </c:plotArea>
    <c:legend>
      <c:legendPos val="r"/>
      <c:layout>
        <c:manualLayout>
          <c:xMode val="edge"/>
          <c:yMode val="edge"/>
          <c:x val="0.95970609443050381"/>
          <c:y val="8.4337349397590355E-2"/>
          <c:w val="2.3809523809523836E-2"/>
          <c:h val="0.79517692818518171"/>
        </c:manualLayout>
      </c:layout>
      <c:overlay val="0"/>
      <c:spPr>
        <a:solidFill>
          <a:srgbClr val="FFFFFF"/>
        </a:solidFill>
        <a:ln w="3175">
          <a:solidFill>
            <a:srgbClr val="000000"/>
          </a:solidFill>
          <a:prstDash val="solid"/>
        </a:ln>
      </c:spPr>
      <c:txPr>
        <a:bodyPr/>
        <a:lstStyle/>
        <a:p>
          <a:pPr>
            <a:defRPr sz="15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22" r="0.75000000000000022"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240150812209595E-2"/>
          <c:y val="0.13761467889908258"/>
          <c:w val="0.87355674959438501"/>
          <c:h val="0.57798165137614699"/>
        </c:manualLayout>
      </c:layout>
      <c:barChart>
        <c:barDir val="bar"/>
        <c:grouping val="stacked"/>
        <c:varyColors val="0"/>
        <c:ser>
          <c:idx val="0"/>
          <c:order val="0"/>
          <c:tx>
            <c:strRef>
              <c:f>'[1]Johnson''s'!$H$26</c:f>
              <c:strCache>
                <c:ptCount val="1"/>
                <c:pt idx="0">
                  <c:v>IDLE1</c:v>
                </c:pt>
              </c:strCache>
            </c:strRef>
          </c:tx>
          <c:spPr>
            <a:noFill/>
            <a:ln w="12700">
              <a:solidFill>
                <a:srgbClr val="000000"/>
              </a:solidFill>
              <a:prstDash val="solid"/>
            </a:ln>
          </c:spPr>
          <c:invertIfNegative val="0"/>
          <c:cat>
            <c:strRef>
              <c:f>'[1]Johnson''s'!$I$25</c:f>
              <c:strCache>
                <c:ptCount val="1"/>
                <c:pt idx="0">
                  <c:v>#2</c:v>
                </c:pt>
              </c:strCache>
            </c:strRef>
          </c:cat>
          <c:val>
            <c:numRef>
              <c:f>'[1]Johnson''s'!$I$26</c:f>
              <c:numCache>
                <c:formatCode>General</c:formatCode>
                <c:ptCount val="1"/>
                <c:pt idx="0">
                  <c:v>1</c:v>
                </c:pt>
              </c:numCache>
            </c:numRef>
          </c:val>
          <c:extLst>
            <c:ext xmlns:c16="http://schemas.microsoft.com/office/drawing/2014/chart" uri="{C3380CC4-5D6E-409C-BE32-E72D297353CC}">
              <c16:uniqueId val="{00000000-D866-F94C-8415-A2B3CD7132B2}"/>
            </c:ext>
          </c:extLst>
        </c:ser>
        <c:ser>
          <c:idx val="1"/>
          <c:order val="1"/>
          <c:tx>
            <c:strRef>
              <c:f>'[1]Johnson''s'!$H$27</c:f>
              <c:strCache>
                <c:ptCount val="1"/>
                <c:pt idx="0">
                  <c:v>A</c:v>
                </c:pt>
              </c:strCache>
            </c:strRef>
          </c:tx>
          <c:spPr>
            <a:solidFill>
              <a:srgbClr val="993366"/>
            </a:solidFill>
            <a:ln w="12700">
              <a:solidFill>
                <a:srgbClr val="000000"/>
              </a:solidFill>
              <a:prstDash val="solid"/>
            </a:ln>
          </c:spPr>
          <c:invertIfNegative val="0"/>
          <c:dPt>
            <c:idx val="0"/>
            <c:invertIfNegative val="0"/>
            <c:bubble3D val="0"/>
            <c:spPr>
              <a:solidFill>
                <a:srgbClr val="9999FF"/>
              </a:solidFill>
              <a:ln w="12700">
                <a:solidFill>
                  <a:srgbClr val="000000"/>
                </a:solidFill>
                <a:prstDash val="solid"/>
              </a:ln>
            </c:spPr>
            <c:extLst>
              <c:ext xmlns:c16="http://schemas.microsoft.com/office/drawing/2014/chart" uri="{C3380CC4-5D6E-409C-BE32-E72D297353CC}">
                <c16:uniqueId val="{00000001-D866-F94C-8415-A2B3CD7132B2}"/>
              </c:ext>
            </c:extLst>
          </c:dPt>
          <c:cat>
            <c:strRef>
              <c:f>'[1]Johnson''s'!$I$25</c:f>
              <c:strCache>
                <c:ptCount val="1"/>
                <c:pt idx="0">
                  <c:v>#2</c:v>
                </c:pt>
              </c:strCache>
            </c:strRef>
          </c:cat>
          <c:val>
            <c:numRef>
              <c:f>'[1]Johnson''s'!$I$27</c:f>
              <c:numCache>
                <c:formatCode>General</c:formatCode>
                <c:ptCount val="1"/>
                <c:pt idx="0">
                  <c:v>1</c:v>
                </c:pt>
              </c:numCache>
            </c:numRef>
          </c:val>
          <c:extLst>
            <c:ext xmlns:c16="http://schemas.microsoft.com/office/drawing/2014/chart" uri="{C3380CC4-5D6E-409C-BE32-E72D297353CC}">
              <c16:uniqueId val="{00000002-D866-F94C-8415-A2B3CD7132B2}"/>
            </c:ext>
          </c:extLst>
        </c:ser>
        <c:ser>
          <c:idx val="2"/>
          <c:order val="2"/>
          <c:tx>
            <c:strRef>
              <c:f>'[1]Johnson''s'!$H$28</c:f>
              <c:strCache>
                <c:ptCount val="1"/>
                <c:pt idx="0">
                  <c:v>IDLE2</c:v>
                </c:pt>
              </c:strCache>
            </c:strRef>
          </c:tx>
          <c:spPr>
            <a:noFill/>
            <a:ln w="12700">
              <a:solidFill>
                <a:srgbClr val="000000"/>
              </a:solidFill>
              <a:prstDash val="solid"/>
            </a:ln>
          </c:spPr>
          <c:invertIfNegative val="0"/>
          <c:cat>
            <c:strRef>
              <c:f>'[1]Johnson''s'!$I$25</c:f>
              <c:strCache>
                <c:ptCount val="1"/>
                <c:pt idx="0">
                  <c:v>#2</c:v>
                </c:pt>
              </c:strCache>
            </c:strRef>
          </c:cat>
          <c:val>
            <c:numRef>
              <c:f>'[1]Johnson''s'!$I$28</c:f>
              <c:numCache>
                <c:formatCode>General</c:formatCode>
                <c:ptCount val="1"/>
                <c:pt idx="0">
                  <c:v>1</c:v>
                </c:pt>
              </c:numCache>
            </c:numRef>
          </c:val>
          <c:extLst>
            <c:ext xmlns:c16="http://schemas.microsoft.com/office/drawing/2014/chart" uri="{C3380CC4-5D6E-409C-BE32-E72D297353CC}">
              <c16:uniqueId val="{00000003-D866-F94C-8415-A2B3CD7132B2}"/>
            </c:ext>
          </c:extLst>
        </c:ser>
        <c:ser>
          <c:idx val="3"/>
          <c:order val="3"/>
          <c:tx>
            <c:strRef>
              <c:f>'[1]Johnson''s'!$H$29</c:f>
              <c:strCache>
                <c:ptCount val="1"/>
                <c:pt idx="0">
                  <c:v>H</c:v>
                </c:pt>
              </c:strCache>
            </c:strRef>
          </c:tx>
          <c:spPr>
            <a:solidFill>
              <a:srgbClr val="CCFFFF"/>
            </a:solidFill>
            <a:ln w="12700">
              <a:solidFill>
                <a:srgbClr val="000000"/>
              </a:solidFill>
              <a:prstDash val="solid"/>
            </a:ln>
          </c:spPr>
          <c:invertIfNegative val="0"/>
          <c:dPt>
            <c:idx val="0"/>
            <c:invertIfNegative val="0"/>
            <c:bubble3D val="0"/>
            <c:spPr>
              <a:solidFill>
                <a:srgbClr val="993366"/>
              </a:solidFill>
              <a:ln w="12700">
                <a:solidFill>
                  <a:srgbClr val="000000"/>
                </a:solidFill>
                <a:prstDash val="solid"/>
              </a:ln>
            </c:spPr>
            <c:extLst>
              <c:ext xmlns:c16="http://schemas.microsoft.com/office/drawing/2014/chart" uri="{C3380CC4-5D6E-409C-BE32-E72D297353CC}">
                <c16:uniqueId val="{00000004-D866-F94C-8415-A2B3CD7132B2}"/>
              </c:ext>
            </c:extLst>
          </c:dPt>
          <c:cat>
            <c:strRef>
              <c:f>'[1]Johnson''s'!$I$25</c:f>
              <c:strCache>
                <c:ptCount val="1"/>
                <c:pt idx="0">
                  <c:v>#2</c:v>
                </c:pt>
              </c:strCache>
            </c:strRef>
          </c:cat>
          <c:val>
            <c:numRef>
              <c:f>'[1]Johnson''s'!$I$29</c:f>
              <c:numCache>
                <c:formatCode>General</c:formatCode>
                <c:ptCount val="1"/>
                <c:pt idx="0">
                  <c:v>1</c:v>
                </c:pt>
              </c:numCache>
            </c:numRef>
          </c:val>
          <c:extLst>
            <c:ext xmlns:c16="http://schemas.microsoft.com/office/drawing/2014/chart" uri="{C3380CC4-5D6E-409C-BE32-E72D297353CC}">
              <c16:uniqueId val="{00000005-D866-F94C-8415-A2B3CD7132B2}"/>
            </c:ext>
          </c:extLst>
        </c:ser>
        <c:ser>
          <c:idx val="4"/>
          <c:order val="4"/>
          <c:tx>
            <c:strRef>
              <c:f>'[1]Johnson''s'!$H$30</c:f>
              <c:strCache>
                <c:ptCount val="1"/>
                <c:pt idx="0">
                  <c:v>IDLE3</c:v>
                </c:pt>
              </c:strCache>
            </c:strRef>
          </c:tx>
          <c:spPr>
            <a:noFill/>
            <a:ln w="12700">
              <a:solidFill>
                <a:srgbClr val="000000"/>
              </a:solidFill>
              <a:prstDash val="solid"/>
            </a:ln>
          </c:spPr>
          <c:invertIfNegative val="0"/>
          <c:cat>
            <c:strRef>
              <c:f>'[1]Johnson''s'!$I$25</c:f>
              <c:strCache>
                <c:ptCount val="1"/>
                <c:pt idx="0">
                  <c:v>#2</c:v>
                </c:pt>
              </c:strCache>
            </c:strRef>
          </c:cat>
          <c:val>
            <c:numRef>
              <c:f>'[1]Johnson''s'!$I$30</c:f>
              <c:numCache>
                <c:formatCode>General</c:formatCode>
                <c:ptCount val="1"/>
                <c:pt idx="0">
                  <c:v>2</c:v>
                </c:pt>
              </c:numCache>
            </c:numRef>
          </c:val>
          <c:extLst>
            <c:ext xmlns:c16="http://schemas.microsoft.com/office/drawing/2014/chart" uri="{C3380CC4-5D6E-409C-BE32-E72D297353CC}">
              <c16:uniqueId val="{00000006-D866-F94C-8415-A2B3CD7132B2}"/>
            </c:ext>
          </c:extLst>
        </c:ser>
        <c:ser>
          <c:idx val="5"/>
          <c:order val="5"/>
          <c:tx>
            <c:strRef>
              <c:f>'[1]Johnson''s'!$H$31</c:f>
              <c:strCache>
                <c:ptCount val="1"/>
                <c:pt idx="0">
                  <c:v>F</c:v>
                </c:pt>
              </c:strCache>
            </c:strRef>
          </c:tx>
          <c:spPr>
            <a:solidFill>
              <a:srgbClr val="FF8080"/>
            </a:solidFill>
            <a:ln w="12700">
              <a:solidFill>
                <a:srgbClr val="000000"/>
              </a:solidFill>
              <a:prstDash val="solid"/>
            </a:ln>
          </c:spPr>
          <c:invertIfNegative val="0"/>
          <c:dPt>
            <c:idx val="0"/>
            <c:invertIfNegative val="0"/>
            <c:bubble3D val="0"/>
            <c:spPr>
              <a:solidFill>
                <a:srgbClr val="FFFFCC"/>
              </a:solidFill>
              <a:ln w="12700">
                <a:solidFill>
                  <a:srgbClr val="000000"/>
                </a:solidFill>
                <a:prstDash val="solid"/>
              </a:ln>
            </c:spPr>
            <c:extLst>
              <c:ext xmlns:c16="http://schemas.microsoft.com/office/drawing/2014/chart" uri="{C3380CC4-5D6E-409C-BE32-E72D297353CC}">
                <c16:uniqueId val="{00000007-D866-F94C-8415-A2B3CD7132B2}"/>
              </c:ext>
            </c:extLst>
          </c:dPt>
          <c:cat>
            <c:strRef>
              <c:f>'[1]Johnson''s'!$I$25</c:f>
              <c:strCache>
                <c:ptCount val="1"/>
                <c:pt idx="0">
                  <c:v>#2</c:v>
                </c:pt>
              </c:strCache>
            </c:strRef>
          </c:cat>
          <c:val>
            <c:numRef>
              <c:f>'[1]Johnson''s'!$I$31</c:f>
              <c:numCache>
                <c:formatCode>General</c:formatCode>
                <c:ptCount val="1"/>
                <c:pt idx="0">
                  <c:v>1</c:v>
                </c:pt>
              </c:numCache>
            </c:numRef>
          </c:val>
          <c:extLst>
            <c:ext xmlns:c16="http://schemas.microsoft.com/office/drawing/2014/chart" uri="{C3380CC4-5D6E-409C-BE32-E72D297353CC}">
              <c16:uniqueId val="{00000008-D866-F94C-8415-A2B3CD7132B2}"/>
            </c:ext>
          </c:extLst>
        </c:ser>
        <c:ser>
          <c:idx val="6"/>
          <c:order val="6"/>
          <c:tx>
            <c:strRef>
              <c:f>'[1]Johnson''s'!$H$32</c:f>
              <c:strCache>
                <c:ptCount val="1"/>
                <c:pt idx="0">
                  <c:v>IDLE4</c:v>
                </c:pt>
              </c:strCache>
            </c:strRef>
          </c:tx>
          <c:spPr>
            <a:noFill/>
            <a:ln w="12700">
              <a:solidFill>
                <a:srgbClr val="000000"/>
              </a:solidFill>
              <a:prstDash val="solid"/>
            </a:ln>
          </c:spPr>
          <c:invertIfNegative val="0"/>
          <c:cat>
            <c:strRef>
              <c:f>'[1]Johnson''s'!$I$25</c:f>
              <c:strCache>
                <c:ptCount val="1"/>
                <c:pt idx="0">
                  <c:v>#2</c:v>
                </c:pt>
              </c:strCache>
            </c:strRef>
          </c:cat>
          <c:val>
            <c:numRef>
              <c:f>'[1]Johnson''s'!$I$32</c:f>
              <c:numCache>
                <c:formatCode>General</c:formatCode>
                <c:ptCount val="1"/>
                <c:pt idx="0">
                  <c:v>4</c:v>
                </c:pt>
              </c:numCache>
            </c:numRef>
          </c:val>
          <c:extLst>
            <c:ext xmlns:c16="http://schemas.microsoft.com/office/drawing/2014/chart" uri="{C3380CC4-5D6E-409C-BE32-E72D297353CC}">
              <c16:uniqueId val="{00000009-D866-F94C-8415-A2B3CD7132B2}"/>
            </c:ext>
          </c:extLst>
        </c:ser>
        <c:ser>
          <c:idx val="7"/>
          <c:order val="7"/>
          <c:tx>
            <c:strRef>
              <c:f>'[1]Johnson''s'!$H$33</c:f>
              <c:strCache>
                <c:ptCount val="1"/>
                <c:pt idx="0">
                  <c:v>D</c:v>
                </c:pt>
              </c:strCache>
            </c:strRef>
          </c:tx>
          <c:spPr>
            <a:solidFill>
              <a:srgbClr val="CCCCFF"/>
            </a:solidFill>
            <a:ln w="12700">
              <a:solidFill>
                <a:srgbClr val="000000"/>
              </a:solidFill>
              <a:prstDash val="solid"/>
            </a:ln>
          </c:spPr>
          <c:invertIfNegative val="0"/>
          <c:dPt>
            <c:idx val="0"/>
            <c:invertIfNegative val="0"/>
            <c:bubble3D val="0"/>
            <c:spPr>
              <a:solidFill>
                <a:srgbClr val="CCFFFF"/>
              </a:solidFill>
              <a:ln w="12700">
                <a:solidFill>
                  <a:srgbClr val="000000"/>
                </a:solidFill>
                <a:prstDash val="solid"/>
              </a:ln>
            </c:spPr>
            <c:extLst>
              <c:ext xmlns:c16="http://schemas.microsoft.com/office/drawing/2014/chart" uri="{C3380CC4-5D6E-409C-BE32-E72D297353CC}">
                <c16:uniqueId val="{0000000A-D866-F94C-8415-A2B3CD7132B2}"/>
              </c:ext>
            </c:extLst>
          </c:dPt>
          <c:cat>
            <c:strRef>
              <c:f>'[1]Johnson''s'!$I$25</c:f>
              <c:strCache>
                <c:ptCount val="1"/>
                <c:pt idx="0">
                  <c:v>#2</c:v>
                </c:pt>
              </c:strCache>
            </c:strRef>
          </c:cat>
          <c:val>
            <c:numRef>
              <c:f>'[1]Johnson''s'!$I$33</c:f>
              <c:numCache>
                <c:formatCode>General</c:formatCode>
                <c:ptCount val="1"/>
                <c:pt idx="0">
                  <c:v>2.5</c:v>
                </c:pt>
              </c:numCache>
            </c:numRef>
          </c:val>
          <c:extLst>
            <c:ext xmlns:c16="http://schemas.microsoft.com/office/drawing/2014/chart" uri="{C3380CC4-5D6E-409C-BE32-E72D297353CC}">
              <c16:uniqueId val="{0000000B-D866-F94C-8415-A2B3CD7132B2}"/>
            </c:ext>
          </c:extLst>
        </c:ser>
        <c:ser>
          <c:idx val="8"/>
          <c:order val="8"/>
          <c:tx>
            <c:strRef>
              <c:f>'[1]Johnson''s'!$H$34</c:f>
              <c:strCache>
                <c:ptCount val="1"/>
                <c:pt idx="0">
                  <c:v>IDLE5</c:v>
                </c:pt>
              </c:strCache>
            </c:strRef>
          </c:tx>
          <c:spPr>
            <a:noFill/>
            <a:ln w="12700">
              <a:solidFill>
                <a:srgbClr val="000000"/>
              </a:solidFill>
              <a:prstDash val="solid"/>
            </a:ln>
          </c:spPr>
          <c:invertIfNegative val="0"/>
          <c:cat>
            <c:strRef>
              <c:f>'[1]Johnson''s'!$I$25</c:f>
              <c:strCache>
                <c:ptCount val="1"/>
                <c:pt idx="0">
                  <c:v>#2</c:v>
                </c:pt>
              </c:strCache>
            </c:strRef>
          </c:cat>
          <c:val>
            <c:numRef>
              <c:f>'[1]Johnson''s'!$I$34</c:f>
              <c:numCache>
                <c:formatCode>General</c:formatCode>
                <c:ptCount val="1"/>
                <c:pt idx="0">
                  <c:v>2.5</c:v>
                </c:pt>
              </c:numCache>
            </c:numRef>
          </c:val>
          <c:extLst>
            <c:ext xmlns:c16="http://schemas.microsoft.com/office/drawing/2014/chart" uri="{C3380CC4-5D6E-409C-BE32-E72D297353CC}">
              <c16:uniqueId val="{0000000C-D866-F94C-8415-A2B3CD7132B2}"/>
            </c:ext>
          </c:extLst>
        </c:ser>
        <c:ser>
          <c:idx val="9"/>
          <c:order val="9"/>
          <c:tx>
            <c:strRef>
              <c:f>'[1]Johnson''s'!$H$35</c:f>
              <c:strCache>
                <c:ptCount val="1"/>
                <c:pt idx="0">
                  <c:v>B</c:v>
                </c:pt>
              </c:strCache>
            </c:strRef>
          </c:tx>
          <c:spPr>
            <a:solidFill>
              <a:srgbClr val="FF00FF"/>
            </a:solidFill>
            <a:ln w="12700">
              <a:solidFill>
                <a:srgbClr val="000000"/>
              </a:solidFill>
              <a:prstDash val="solid"/>
            </a:ln>
          </c:spPr>
          <c:invertIfNegative val="0"/>
          <c:dPt>
            <c:idx val="0"/>
            <c:invertIfNegative val="0"/>
            <c:bubble3D val="0"/>
            <c:spPr>
              <a:solidFill>
                <a:srgbClr val="660066"/>
              </a:solidFill>
              <a:ln w="12700">
                <a:solidFill>
                  <a:srgbClr val="000000"/>
                </a:solidFill>
                <a:prstDash val="solid"/>
              </a:ln>
            </c:spPr>
            <c:extLst>
              <c:ext xmlns:c16="http://schemas.microsoft.com/office/drawing/2014/chart" uri="{C3380CC4-5D6E-409C-BE32-E72D297353CC}">
                <c16:uniqueId val="{0000000D-D866-F94C-8415-A2B3CD7132B2}"/>
              </c:ext>
            </c:extLst>
          </c:dPt>
          <c:cat>
            <c:strRef>
              <c:f>'[1]Johnson''s'!$I$25</c:f>
              <c:strCache>
                <c:ptCount val="1"/>
                <c:pt idx="0">
                  <c:v>#2</c:v>
                </c:pt>
              </c:strCache>
            </c:strRef>
          </c:cat>
          <c:val>
            <c:numRef>
              <c:f>'[1]Johnson''s'!$I$35</c:f>
              <c:numCache>
                <c:formatCode>General</c:formatCode>
                <c:ptCount val="1"/>
                <c:pt idx="0">
                  <c:v>2.5</c:v>
                </c:pt>
              </c:numCache>
            </c:numRef>
          </c:val>
          <c:extLst>
            <c:ext xmlns:c16="http://schemas.microsoft.com/office/drawing/2014/chart" uri="{C3380CC4-5D6E-409C-BE32-E72D297353CC}">
              <c16:uniqueId val="{0000000E-D866-F94C-8415-A2B3CD7132B2}"/>
            </c:ext>
          </c:extLst>
        </c:ser>
        <c:ser>
          <c:idx val="10"/>
          <c:order val="10"/>
          <c:tx>
            <c:strRef>
              <c:f>'[1]Johnson''s'!$H$36</c:f>
              <c:strCache>
                <c:ptCount val="1"/>
                <c:pt idx="0">
                  <c:v>IDLE6</c:v>
                </c:pt>
              </c:strCache>
            </c:strRef>
          </c:tx>
          <c:spPr>
            <a:noFill/>
            <a:ln w="12700">
              <a:solidFill>
                <a:srgbClr val="000000"/>
              </a:solidFill>
              <a:prstDash val="solid"/>
            </a:ln>
          </c:spPr>
          <c:invertIfNegative val="0"/>
          <c:cat>
            <c:strRef>
              <c:f>'[1]Johnson''s'!$I$25</c:f>
              <c:strCache>
                <c:ptCount val="1"/>
                <c:pt idx="0">
                  <c:v>#2</c:v>
                </c:pt>
              </c:strCache>
            </c:strRef>
          </c:cat>
          <c:val>
            <c:numRef>
              <c:f>'[1]Johnson''s'!$I$36</c:f>
              <c:numCache>
                <c:formatCode>General</c:formatCode>
                <c:ptCount val="1"/>
                <c:pt idx="0">
                  <c:v>14.5</c:v>
                </c:pt>
              </c:numCache>
            </c:numRef>
          </c:val>
          <c:extLst>
            <c:ext xmlns:c16="http://schemas.microsoft.com/office/drawing/2014/chart" uri="{C3380CC4-5D6E-409C-BE32-E72D297353CC}">
              <c16:uniqueId val="{0000000F-D866-F94C-8415-A2B3CD7132B2}"/>
            </c:ext>
          </c:extLst>
        </c:ser>
        <c:ser>
          <c:idx val="11"/>
          <c:order val="11"/>
          <c:tx>
            <c:strRef>
              <c:f>'[1]Johnson''s'!$H$37</c:f>
              <c:strCache>
                <c:ptCount val="1"/>
                <c:pt idx="0">
                  <c:v>O</c:v>
                </c:pt>
              </c:strCache>
            </c:strRef>
          </c:tx>
          <c:spPr>
            <a:solidFill>
              <a:srgbClr val="00FFFF"/>
            </a:solidFill>
            <a:ln w="12700">
              <a:solidFill>
                <a:srgbClr val="000000"/>
              </a:solidFill>
              <a:prstDash val="solid"/>
            </a:ln>
          </c:spPr>
          <c:invertIfNegative val="0"/>
          <c:dPt>
            <c:idx val="0"/>
            <c:invertIfNegative val="0"/>
            <c:bubble3D val="0"/>
            <c:spPr>
              <a:solidFill>
                <a:srgbClr val="FF8080"/>
              </a:solidFill>
              <a:ln w="12700">
                <a:solidFill>
                  <a:srgbClr val="000000"/>
                </a:solidFill>
                <a:prstDash val="solid"/>
              </a:ln>
            </c:spPr>
            <c:extLst>
              <c:ext xmlns:c16="http://schemas.microsoft.com/office/drawing/2014/chart" uri="{C3380CC4-5D6E-409C-BE32-E72D297353CC}">
                <c16:uniqueId val="{00000010-D866-F94C-8415-A2B3CD7132B2}"/>
              </c:ext>
            </c:extLst>
          </c:dPt>
          <c:cat>
            <c:strRef>
              <c:f>'[1]Johnson''s'!$I$25</c:f>
              <c:strCache>
                <c:ptCount val="1"/>
                <c:pt idx="0">
                  <c:v>#2</c:v>
                </c:pt>
              </c:strCache>
            </c:strRef>
          </c:cat>
          <c:val>
            <c:numRef>
              <c:f>'[1]Johnson''s'!$I$37</c:f>
              <c:numCache>
                <c:formatCode>General</c:formatCode>
                <c:ptCount val="1"/>
                <c:pt idx="0">
                  <c:v>25</c:v>
                </c:pt>
              </c:numCache>
            </c:numRef>
          </c:val>
          <c:extLst>
            <c:ext xmlns:c16="http://schemas.microsoft.com/office/drawing/2014/chart" uri="{C3380CC4-5D6E-409C-BE32-E72D297353CC}">
              <c16:uniqueId val="{00000011-D866-F94C-8415-A2B3CD7132B2}"/>
            </c:ext>
          </c:extLst>
        </c:ser>
        <c:ser>
          <c:idx val="12"/>
          <c:order val="12"/>
          <c:tx>
            <c:strRef>
              <c:f>'[1]Johnson''s'!$H$38</c:f>
              <c:strCache>
                <c:ptCount val="1"/>
                <c:pt idx="0">
                  <c:v>K</c:v>
                </c:pt>
              </c:strCache>
            </c:strRef>
          </c:tx>
          <c:spPr>
            <a:solidFill>
              <a:srgbClr val="800080"/>
            </a:solidFill>
            <a:ln w="12700">
              <a:solidFill>
                <a:srgbClr val="000000"/>
              </a:solidFill>
              <a:prstDash val="solid"/>
            </a:ln>
          </c:spPr>
          <c:invertIfNegative val="0"/>
          <c:dPt>
            <c:idx val="0"/>
            <c:invertIfNegative val="0"/>
            <c:bubble3D val="0"/>
            <c:spPr>
              <a:solidFill>
                <a:srgbClr val="0066CC"/>
              </a:solidFill>
              <a:ln w="12700">
                <a:solidFill>
                  <a:srgbClr val="000000"/>
                </a:solidFill>
                <a:prstDash val="solid"/>
              </a:ln>
            </c:spPr>
            <c:extLst>
              <c:ext xmlns:c16="http://schemas.microsoft.com/office/drawing/2014/chart" uri="{C3380CC4-5D6E-409C-BE32-E72D297353CC}">
                <c16:uniqueId val="{00000012-D866-F94C-8415-A2B3CD7132B2}"/>
              </c:ext>
            </c:extLst>
          </c:dPt>
          <c:cat>
            <c:strRef>
              <c:f>'[1]Johnson''s'!$I$25</c:f>
              <c:strCache>
                <c:ptCount val="1"/>
                <c:pt idx="0">
                  <c:v>#2</c:v>
                </c:pt>
              </c:strCache>
            </c:strRef>
          </c:cat>
          <c:val>
            <c:numRef>
              <c:f>'[1]Johnson''s'!$I$38</c:f>
              <c:numCache>
                <c:formatCode>General</c:formatCode>
                <c:ptCount val="1"/>
                <c:pt idx="0">
                  <c:v>6</c:v>
                </c:pt>
              </c:numCache>
            </c:numRef>
          </c:val>
          <c:extLst>
            <c:ext xmlns:c16="http://schemas.microsoft.com/office/drawing/2014/chart" uri="{C3380CC4-5D6E-409C-BE32-E72D297353CC}">
              <c16:uniqueId val="{00000013-D866-F94C-8415-A2B3CD7132B2}"/>
            </c:ext>
          </c:extLst>
        </c:ser>
        <c:ser>
          <c:idx val="13"/>
          <c:order val="13"/>
          <c:tx>
            <c:strRef>
              <c:f>'[1]Johnson''s'!$H$39</c:f>
              <c:strCache>
                <c:ptCount val="1"/>
                <c:pt idx="0">
                  <c:v>IDLE7</c:v>
                </c:pt>
              </c:strCache>
            </c:strRef>
          </c:tx>
          <c:spPr>
            <a:noFill/>
            <a:ln w="12700">
              <a:solidFill>
                <a:srgbClr val="000000"/>
              </a:solidFill>
              <a:prstDash val="solid"/>
            </a:ln>
          </c:spPr>
          <c:invertIfNegative val="0"/>
          <c:cat>
            <c:strRef>
              <c:f>'[1]Johnson''s'!$I$25</c:f>
              <c:strCache>
                <c:ptCount val="1"/>
                <c:pt idx="0">
                  <c:v>#2</c:v>
                </c:pt>
              </c:strCache>
            </c:strRef>
          </c:cat>
          <c:val>
            <c:numRef>
              <c:f>'[1]Johnson''s'!$I$39</c:f>
              <c:numCache>
                <c:formatCode>General</c:formatCode>
                <c:ptCount val="1"/>
                <c:pt idx="0">
                  <c:v>8</c:v>
                </c:pt>
              </c:numCache>
            </c:numRef>
          </c:val>
          <c:extLst>
            <c:ext xmlns:c16="http://schemas.microsoft.com/office/drawing/2014/chart" uri="{C3380CC4-5D6E-409C-BE32-E72D297353CC}">
              <c16:uniqueId val="{00000014-D866-F94C-8415-A2B3CD7132B2}"/>
            </c:ext>
          </c:extLst>
        </c:ser>
        <c:ser>
          <c:idx val="14"/>
          <c:order val="14"/>
          <c:tx>
            <c:strRef>
              <c:f>'[1]Johnson''s'!$H$40</c:f>
              <c:strCache>
                <c:ptCount val="1"/>
                <c:pt idx="0">
                  <c:v>T</c:v>
                </c:pt>
              </c:strCache>
            </c:strRef>
          </c:tx>
          <c:spPr>
            <a:solidFill>
              <a:srgbClr val="008080"/>
            </a:solidFill>
            <a:ln w="12700">
              <a:solidFill>
                <a:srgbClr val="000000"/>
              </a:solidFill>
              <a:prstDash val="solid"/>
            </a:ln>
          </c:spPr>
          <c:invertIfNegative val="0"/>
          <c:dPt>
            <c:idx val="0"/>
            <c:invertIfNegative val="0"/>
            <c:bubble3D val="0"/>
            <c:spPr>
              <a:solidFill>
                <a:srgbClr val="CCCCFF"/>
              </a:solidFill>
              <a:ln w="12700">
                <a:solidFill>
                  <a:srgbClr val="000000"/>
                </a:solidFill>
                <a:prstDash val="solid"/>
              </a:ln>
            </c:spPr>
            <c:extLst>
              <c:ext xmlns:c16="http://schemas.microsoft.com/office/drawing/2014/chart" uri="{C3380CC4-5D6E-409C-BE32-E72D297353CC}">
                <c16:uniqueId val="{00000015-D866-F94C-8415-A2B3CD7132B2}"/>
              </c:ext>
            </c:extLst>
          </c:dPt>
          <c:cat>
            <c:strRef>
              <c:f>'[1]Johnson''s'!$I$25</c:f>
              <c:strCache>
                <c:ptCount val="1"/>
                <c:pt idx="0">
                  <c:v>#2</c:v>
                </c:pt>
              </c:strCache>
            </c:strRef>
          </c:cat>
          <c:val>
            <c:numRef>
              <c:f>'[1]Johnson''s'!$I$40</c:f>
              <c:numCache>
                <c:formatCode>General</c:formatCode>
                <c:ptCount val="1"/>
                <c:pt idx="0">
                  <c:v>30</c:v>
                </c:pt>
              </c:numCache>
            </c:numRef>
          </c:val>
          <c:extLst>
            <c:ext xmlns:c16="http://schemas.microsoft.com/office/drawing/2014/chart" uri="{C3380CC4-5D6E-409C-BE32-E72D297353CC}">
              <c16:uniqueId val="{00000016-D866-F94C-8415-A2B3CD7132B2}"/>
            </c:ext>
          </c:extLst>
        </c:ser>
        <c:ser>
          <c:idx val="15"/>
          <c:order val="15"/>
          <c:tx>
            <c:strRef>
              <c:f>'[1]Johnson''s'!$H$41</c:f>
              <c:strCache>
                <c:ptCount val="1"/>
                <c:pt idx="0">
                  <c:v>IDLE8</c:v>
                </c:pt>
              </c:strCache>
            </c:strRef>
          </c:tx>
          <c:spPr>
            <a:noFill/>
            <a:ln w="12700">
              <a:solidFill>
                <a:srgbClr val="000000"/>
              </a:solidFill>
              <a:prstDash val="solid"/>
            </a:ln>
          </c:spPr>
          <c:invertIfNegative val="0"/>
          <c:cat>
            <c:strRef>
              <c:f>'[1]Johnson''s'!$I$25</c:f>
              <c:strCache>
                <c:ptCount val="1"/>
                <c:pt idx="0">
                  <c:v>#2</c:v>
                </c:pt>
              </c:strCache>
            </c:strRef>
          </c:cat>
          <c:val>
            <c:numRef>
              <c:f>'[1]Johnson''s'!$I$41</c:f>
              <c:numCache>
                <c:formatCode>General</c:formatCode>
                <c:ptCount val="1"/>
                <c:pt idx="0">
                  <c:v>2</c:v>
                </c:pt>
              </c:numCache>
            </c:numRef>
          </c:val>
          <c:extLst>
            <c:ext xmlns:c16="http://schemas.microsoft.com/office/drawing/2014/chart" uri="{C3380CC4-5D6E-409C-BE32-E72D297353CC}">
              <c16:uniqueId val="{00000017-D866-F94C-8415-A2B3CD7132B2}"/>
            </c:ext>
          </c:extLst>
        </c:ser>
        <c:dLbls>
          <c:showLegendKey val="0"/>
          <c:showVal val="0"/>
          <c:showCatName val="0"/>
          <c:showSerName val="0"/>
          <c:showPercent val="0"/>
          <c:showBubbleSize val="0"/>
        </c:dLbls>
        <c:gapWidth val="150"/>
        <c:overlap val="100"/>
        <c:axId val="2098334352"/>
        <c:axId val="1"/>
      </c:barChart>
      <c:catAx>
        <c:axId val="2098334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max val="104"/>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Times New Roman"/>
                <a:ea typeface="Times New Roman"/>
                <a:cs typeface="Times New Roman"/>
              </a:defRPr>
            </a:pPr>
            <a:endParaRPr lang="en-US"/>
          </a:p>
        </c:txPr>
        <c:crossAx val="2098334352"/>
        <c:crosses val="autoZero"/>
        <c:crossBetween val="between"/>
        <c:majorUnit val="4"/>
      </c:valAx>
      <c:spPr>
        <a:noFill/>
        <a:ln w="12700">
          <a:solidFill>
            <a:srgbClr val="808080"/>
          </a:solidFill>
          <a:prstDash val="solid"/>
        </a:ln>
      </c:spPr>
    </c:plotArea>
    <c:legend>
      <c:legendPos val="r"/>
      <c:layout>
        <c:manualLayout>
          <c:xMode val="edge"/>
          <c:yMode val="edge"/>
          <c:x val="0.9579520361600139"/>
          <c:y val="1.2189360476281929E-2"/>
          <c:w val="2.3765996343692919E-2"/>
          <c:h val="0.98781063952371795"/>
        </c:manualLayout>
      </c:layout>
      <c:overlay val="0"/>
      <c:spPr>
        <a:solidFill>
          <a:srgbClr val="FFFFFF"/>
        </a:solidFill>
        <a:ln w="3175">
          <a:solidFill>
            <a:srgbClr val="000000"/>
          </a:solidFill>
          <a:prstDash val="solid"/>
        </a:ln>
      </c:spPr>
      <c:txPr>
        <a:bodyPr/>
        <a:lstStyle/>
        <a:p>
          <a:pPr>
            <a:defRPr sz="17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22" r="0.750000000000000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240150812209595E-2"/>
          <c:y val="0.1304347826086957"/>
          <c:w val="0.87355674959438501"/>
          <c:h val="0.6000000000000002"/>
        </c:manualLayout>
      </c:layout>
      <c:barChart>
        <c:barDir val="bar"/>
        <c:grouping val="stacked"/>
        <c:varyColors val="0"/>
        <c:ser>
          <c:idx val="0"/>
          <c:order val="0"/>
          <c:tx>
            <c:strRef>
              <c:f>'[1]Johnson''s'!$K$26</c:f>
              <c:strCache>
                <c:ptCount val="1"/>
                <c:pt idx="0">
                  <c:v>IDLE1</c:v>
                </c:pt>
              </c:strCache>
            </c:strRef>
          </c:tx>
          <c:spPr>
            <a:noFill/>
            <a:ln w="12700">
              <a:solidFill>
                <a:srgbClr val="000000"/>
              </a:solidFill>
              <a:prstDash val="solid"/>
            </a:ln>
          </c:spPr>
          <c:invertIfNegative val="0"/>
          <c:cat>
            <c:strRef>
              <c:f>'[1]Johnson''s'!$L$25</c:f>
              <c:strCache>
                <c:ptCount val="1"/>
                <c:pt idx="0">
                  <c:v>#3</c:v>
                </c:pt>
              </c:strCache>
            </c:strRef>
          </c:cat>
          <c:val>
            <c:numRef>
              <c:f>'[1]Johnson''s'!$L$26</c:f>
              <c:numCache>
                <c:formatCode>General</c:formatCode>
                <c:ptCount val="1"/>
                <c:pt idx="0">
                  <c:v>2</c:v>
                </c:pt>
              </c:numCache>
            </c:numRef>
          </c:val>
          <c:extLst>
            <c:ext xmlns:c16="http://schemas.microsoft.com/office/drawing/2014/chart" uri="{C3380CC4-5D6E-409C-BE32-E72D297353CC}">
              <c16:uniqueId val="{00000000-07F4-064C-9EE3-40BE7CFE37C3}"/>
            </c:ext>
          </c:extLst>
        </c:ser>
        <c:ser>
          <c:idx val="1"/>
          <c:order val="1"/>
          <c:tx>
            <c:strRef>
              <c:f>'[1]Johnson''s'!$K$27</c:f>
              <c:strCache>
                <c:ptCount val="1"/>
                <c:pt idx="0">
                  <c:v>A</c:v>
                </c:pt>
              </c:strCache>
            </c:strRef>
          </c:tx>
          <c:spPr>
            <a:solidFill>
              <a:srgbClr val="993366"/>
            </a:solidFill>
            <a:ln w="12700">
              <a:solidFill>
                <a:srgbClr val="000000"/>
              </a:solidFill>
              <a:prstDash val="solid"/>
            </a:ln>
          </c:spPr>
          <c:invertIfNegative val="0"/>
          <c:dPt>
            <c:idx val="0"/>
            <c:invertIfNegative val="0"/>
            <c:bubble3D val="0"/>
            <c:spPr>
              <a:solidFill>
                <a:srgbClr val="9999FF"/>
              </a:solidFill>
              <a:ln w="12700">
                <a:solidFill>
                  <a:srgbClr val="000000"/>
                </a:solidFill>
                <a:prstDash val="solid"/>
              </a:ln>
            </c:spPr>
            <c:extLst>
              <c:ext xmlns:c16="http://schemas.microsoft.com/office/drawing/2014/chart" uri="{C3380CC4-5D6E-409C-BE32-E72D297353CC}">
                <c16:uniqueId val="{00000001-07F4-064C-9EE3-40BE7CFE37C3}"/>
              </c:ext>
            </c:extLst>
          </c:dPt>
          <c:cat>
            <c:strRef>
              <c:f>'[1]Johnson''s'!$L$25</c:f>
              <c:strCache>
                <c:ptCount val="1"/>
                <c:pt idx="0">
                  <c:v>#3</c:v>
                </c:pt>
              </c:strCache>
            </c:strRef>
          </c:cat>
          <c:val>
            <c:numRef>
              <c:f>'[1]Johnson''s'!$L$27</c:f>
              <c:numCache>
                <c:formatCode>General</c:formatCode>
                <c:ptCount val="1"/>
                <c:pt idx="0">
                  <c:v>7</c:v>
                </c:pt>
              </c:numCache>
            </c:numRef>
          </c:val>
          <c:extLst>
            <c:ext xmlns:c16="http://schemas.microsoft.com/office/drawing/2014/chart" uri="{C3380CC4-5D6E-409C-BE32-E72D297353CC}">
              <c16:uniqueId val="{00000002-07F4-064C-9EE3-40BE7CFE37C3}"/>
            </c:ext>
          </c:extLst>
        </c:ser>
        <c:ser>
          <c:idx val="2"/>
          <c:order val="2"/>
          <c:tx>
            <c:strRef>
              <c:f>'[1]Johnson''s'!$K$28</c:f>
              <c:strCache>
                <c:ptCount val="1"/>
                <c:pt idx="0">
                  <c:v>H</c:v>
                </c:pt>
              </c:strCache>
            </c:strRef>
          </c:tx>
          <c:spPr>
            <a:solidFill>
              <a:srgbClr val="FFFFCC"/>
            </a:solidFill>
            <a:ln w="12700">
              <a:solidFill>
                <a:srgbClr val="000000"/>
              </a:solidFill>
              <a:prstDash val="solid"/>
            </a:ln>
          </c:spPr>
          <c:invertIfNegative val="0"/>
          <c:dPt>
            <c:idx val="0"/>
            <c:invertIfNegative val="0"/>
            <c:bubble3D val="0"/>
            <c:spPr>
              <a:solidFill>
                <a:srgbClr val="993366"/>
              </a:solidFill>
              <a:ln w="12700">
                <a:solidFill>
                  <a:srgbClr val="000000"/>
                </a:solidFill>
                <a:prstDash val="solid"/>
              </a:ln>
            </c:spPr>
            <c:extLst>
              <c:ext xmlns:c16="http://schemas.microsoft.com/office/drawing/2014/chart" uri="{C3380CC4-5D6E-409C-BE32-E72D297353CC}">
                <c16:uniqueId val="{00000003-07F4-064C-9EE3-40BE7CFE37C3}"/>
              </c:ext>
            </c:extLst>
          </c:dPt>
          <c:cat>
            <c:strRef>
              <c:f>'[1]Johnson''s'!$L$25</c:f>
              <c:strCache>
                <c:ptCount val="1"/>
                <c:pt idx="0">
                  <c:v>#3</c:v>
                </c:pt>
              </c:strCache>
            </c:strRef>
          </c:cat>
          <c:val>
            <c:numRef>
              <c:f>'[1]Johnson''s'!$L$28</c:f>
              <c:numCache>
                <c:formatCode>General</c:formatCode>
                <c:ptCount val="1"/>
                <c:pt idx="0">
                  <c:v>7</c:v>
                </c:pt>
              </c:numCache>
            </c:numRef>
          </c:val>
          <c:extLst>
            <c:ext xmlns:c16="http://schemas.microsoft.com/office/drawing/2014/chart" uri="{C3380CC4-5D6E-409C-BE32-E72D297353CC}">
              <c16:uniqueId val="{00000004-07F4-064C-9EE3-40BE7CFE37C3}"/>
            </c:ext>
          </c:extLst>
        </c:ser>
        <c:ser>
          <c:idx val="3"/>
          <c:order val="3"/>
          <c:tx>
            <c:strRef>
              <c:f>'[1]Johnson''s'!$K$29</c:f>
              <c:strCache>
                <c:ptCount val="1"/>
                <c:pt idx="0">
                  <c:v>F</c:v>
                </c:pt>
              </c:strCache>
            </c:strRef>
          </c:tx>
          <c:spPr>
            <a:solidFill>
              <a:srgbClr val="CCFFFF"/>
            </a:solidFill>
            <a:ln w="12700">
              <a:solidFill>
                <a:srgbClr val="000000"/>
              </a:solidFill>
              <a:prstDash val="solid"/>
            </a:ln>
          </c:spPr>
          <c:invertIfNegative val="0"/>
          <c:dPt>
            <c:idx val="0"/>
            <c:invertIfNegative val="0"/>
            <c:bubble3D val="0"/>
            <c:spPr>
              <a:solidFill>
                <a:srgbClr val="FFFFCC"/>
              </a:solidFill>
              <a:ln w="12700">
                <a:solidFill>
                  <a:srgbClr val="000000"/>
                </a:solidFill>
                <a:prstDash val="solid"/>
              </a:ln>
            </c:spPr>
            <c:extLst>
              <c:ext xmlns:c16="http://schemas.microsoft.com/office/drawing/2014/chart" uri="{C3380CC4-5D6E-409C-BE32-E72D297353CC}">
                <c16:uniqueId val="{00000005-07F4-064C-9EE3-40BE7CFE37C3}"/>
              </c:ext>
            </c:extLst>
          </c:dPt>
          <c:cat>
            <c:strRef>
              <c:f>'[1]Johnson''s'!$L$25</c:f>
              <c:strCache>
                <c:ptCount val="1"/>
                <c:pt idx="0">
                  <c:v>#3</c:v>
                </c:pt>
              </c:strCache>
            </c:strRef>
          </c:cat>
          <c:val>
            <c:numRef>
              <c:f>'[1]Johnson''s'!$L$29</c:f>
              <c:numCache>
                <c:formatCode>General</c:formatCode>
                <c:ptCount val="1"/>
                <c:pt idx="0">
                  <c:v>8</c:v>
                </c:pt>
              </c:numCache>
            </c:numRef>
          </c:val>
          <c:extLst>
            <c:ext xmlns:c16="http://schemas.microsoft.com/office/drawing/2014/chart" uri="{C3380CC4-5D6E-409C-BE32-E72D297353CC}">
              <c16:uniqueId val="{00000006-07F4-064C-9EE3-40BE7CFE37C3}"/>
            </c:ext>
          </c:extLst>
        </c:ser>
        <c:ser>
          <c:idx val="4"/>
          <c:order val="4"/>
          <c:tx>
            <c:strRef>
              <c:f>'[1]Johnson''s'!$K$30</c:f>
              <c:strCache>
                <c:ptCount val="1"/>
                <c:pt idx="0">
                  <c:v>D</c:v>
                </c:pt>
              </c:strCache>
            </c:strRef>
          </c:tx>
          <c:spPr>
            <a:solidFill>
              <a:srgbClr val="660066"/>
            </a:solidFill>
            <a:ln w="12700">
              <a:solidFill>
                <a:srgbClr val="000000"/>
              </a:solidFill>
              <a:prstDash val="solid"/>
            </a:ln>
          </c:spPr>
          <c:invertIfNegative val="0"/>
          <c:dPt>
            <c:idx val="0"/>
            <c:invertIfNegative val="0"/>
            <c:bubble3D val="0"/>
            <c:spPr>
              <a:solidFill>
                <a:srgbClr val="CCFFFF"/>
              </a:solidFill>
              <a:ln w="12700">
                <a:solidFill>
                  <a:srgbClr val="000000"/>
                </a:solidFill>
                <a:prstDash val="solid"/>
              </a:ln>
            </c:spPr>
            <c:extLst>
              <c:ext xmlns:c16="http://schemas.microsoft.com/office/drawing/2014/chart" uri="{C3380CC4-5D6E-409C-BE32-E72D297353CC}">
                <c16:uniqueId val="{00000007-07F4-064C-9EE3-40BE7CFE37C3}"/>
              </c:ext>
            </c:extLst>
          </c:dPt>
          <c:cat>
            <c:strRef>
              <c:f>'[1]Johnson''s'!$L$25</c:f>
              <c:strCache>
                <c:ptCount val="1"/>
                <c:pt idx="0">
                  <c:v>#3</c:v>
                </c:pt>
              </c:strCache>
            </c:strRef>
          </c:cat>
          <c:val>
            <c:numRef>
              <c:f>'[1]Johnson''s'!$L$30</c:f>
              <c:numCache>
                <c:formatCode>General</c:formatCode>
                <c:ptCount val="1"/>
                <c:pt idx="0">
                  <c:v>6</c:v>
                </c:pt>
              </c:numCache>
            </c:numRef>
          </c:val>
          <c:extLst>
            <c:ext xmlns:c16="http://schemas.microsoft.com/office/drawing/2014/chart" uri="{C3380CC4-5D6E-409C-BE32-E72D297353CC}">
              <c16:uniqueId val="{00000008-07F4-064C-9EE3-40BE7CFE37C3}"/>
            </c:ext>
          </c:extLst>
        </c:ser>
        <c:ser>
          <c:idx val="5"/>
          <c:order val="5"/>
          <c:tx>
            <c:strRef>
              <c:f>'[1]Johnson''s'!$K$31</c:f>
              <c:strCache>
                <c:ptCount val="1"/>
                <c:pt idx="0">
                  <c:v>B</c:v>
                </c:pt>
              </c:strCache>
            </c:strRef>
          </c:tx>
          <c:spPr>
            <a:solidFill>
              <a:srgbClr val="FF8080"/>
            </a:solidFill>
            <a:ln w="12700">
              <a:solidFill>
                <a:srgbClr val="000000"/>
              </a:solidFill>
              <a:prstDash val="solid"/>
            </a:ln>
          </c:spPr>
          <c:invertIfNegative val="0"/>
          <c:dPt>
            <c:idx val="0"/>
            <c:invertIfNegative val="0"/>
            <c:bubble3D val="0"/>
            <c:spPr>
              <a:solidFill>
                <a:srgbClr val="660066"/>
              </a:solidFill>
              <a:ln w="12700">
                <a:solidFill>
                  <a:srgbClr val="000000"/>
                </a:solidFill>
                <a:prstDash val="solid"/>
              </a:ln>
            </c:spPr>
            <c:extLst>
              <c:ext xmlns:c16="http://schemas.microsoft.com/office/drawing/2014/chart" uri="{C3380CC4-5D6E-409C-BE32-E72D297353CC}">
                <c16:uniqueId val="{00000009-07F4-064C-9EE3-40BE7CFE37C3}"/>
              </c:ext>
            </c:extLst>
          </c:dPt>
          <c:cat>
            <c:strRef>
              <c:f>'[1]Johnson''s'!$L$25</c:f>
              <c:strCache>
                <c:ptCount val="1"/>
                <c:pt idx="0">
                  <c:v>#3</c:v>
                </c:pt>
              </c:strCache>
            </c:strRef>
          </c:cat>
          <c:val>
            <c:numRef>
              <c:f>'[1]Johnson''s'!$L$31</c:f>
              <c:numCache>
                <c:formatCode>General</c:formatCode>
                <c:ptCount val="1"/>
                <c:pt idx="0">
                  <c:v>23</c:v>
                </c:pt>
              </c:numCache>
            </c:numRef>
          </c:val>
          <c:extLst>
            <c:ext xmlns:c16="http://schemas.microsoft.com/office/drawing/2014/chart" uri="{C3380CC4-5D6E-409C-BE32-E72D297353CC}">
              <c16:uniqueId val="{0000000A-07F4-064C-9EE3-40BE7CFE37C3}"/>
            </c:ext>
          </c:extLst>
        </c:ser>
        <c:ser>
          <c:idx val="6"/>
          <c:order val="6"/>
          <c:tx>
            <c:strRef>
              <c:f>'[1]Johnson''s'!$K$32</c:f>
              <c:strCache>
                <c:ptCount val="1"/>
                <c:pt idx="0">
                  <c:v>IDLE2</c:v>
                </c:pt>
              </c:strCache>
            </c:strRef>
          </c:tx>
          <c:spPr>
            <a:noFill/>
            <a:ln w="12700">
              <a:solidFill>
                <a:srgbClr val="000000"/>
              </a:solidFill>
              <a:prstDash val="solid"/>
            </a:ln>
          </c:spPr>
          <c:invertIfNegative val="0"/>
          <c:cat>
            <c:strRef>
              <c:f>'[1]Johnson''s'!$L$25</c:f>
              <c:strCache>
                <c:ptCount val="1"/>
                <c:pt idx="0">
                  <c:v>#3</c:v>
                </c:pt>
              </c:strCache>
            </c:strRef>
          </c:cat>
          <c:val>
            <c:numRef>
              <c:f>'[1]Johnson''s'!$L$32</c:f>
              <c:numCache>
                <c:formatCode>General</c:formatCode>
                <c:ptCount val="1"/>
                <c:pt idx="0">
                  <c:v>5</c:v>
                </c:pt>
              </c:numCache>
            </c:numRef>
          </c:val>
          <c:extLst>
            <c:ext xmlns:c16="http://schemas.microsoft.com/office/drawing/2014/chart" uri="{C3380CC4-5D6E-409C-BE32-E72D297353CC}">
              <c16:uniqueId val="{0000000B-07F4-064C-9EE3-40BE7CFE37C3}"/>
            </c:ext>
          </c:extLst>
        </c:ser>
        <c:ser>
          <c:idx val="7"/>
          <c:order val="7"/>
          <c:tx>
            <c:strRef>
              <c:f>'[1]Johnson''s'!$K$33</c:f>
              <c:strCache>
                <c:ptCount val="1"/>
                <c:pt idx="0">
                  <c:v>O</c:v>
                </c:pt>
              </c:strCache>
            </c:strRef>
          </c:tx>
          <c:spPr>
            <a:solidFill>
              <a:srgbClr val="CCCCFF"/>
            </a:solidFill>
            <a:ln w="12700">
              <a:solidFill>
                <a:srgbClr val="000000"/>
              </a:solidFill>
              <a:prstDash val="solid"/>
            </a:ln>
          </c:spPr>
          <c:invertIfNegative val="0"/>
          <c:dPt>
            <c:idx val="0"/>
            <c:invertIfNegative val="0"/>
            <c:bubble3D val="0"/>
            <c:spPr>
              <a:solidFill>
                <a:srgbClr val="FF8080"/>
              </a:solidFill>
              <a:ln w="12700">
                <a:solidFill>
                  <a:srgbClr val="000000"/>
                </a:solidFill>
                <a:prstDash val="solid"/>
              </a:ln>
            </c:spPr>
            <c:extLst>
              <c:ext xmlns:c16="http://schemas.microsoft.com/office/drawing/2014/chart" uri="{C3380CC4-5D6E-409C-BE32-E72D297353CC}">
                <c16:uniqueId val="{0000000C-07F4-064C-9EE3-40BE7CFE37C3}"/>
              </c:ext>
            </c:extLst>
          </c:dPt>
          <c:cat>
            <c:strRef>
              <c:f>'[1]Johnson''s'!$L$25</c:f>
              <c:strCache>
                <c:ptCount val="1"/>
                <c:pt idx="0">
                  <c:v>#3</c:v>
                </c:pt>
              </c:strCache>
            </c:strRef>
          </c:cat>
          <c:val>
            <c:numRef>
              <c:f>'[1]Johnson''s'!$L$33</c:f>
              <c:numCache>
                <c:formatCode>General</c:formatCode>
                <c:ptCount val="1"/>
                <c:pt idx="0">
                  <c:v>10</c:v>
                </c:pt>
              </c:numCache>
            </c:numRef>
          </c:val>
          <c:extLst>
            <c:ext xmlns:c16="http://schemas.microsoft.com/office/drawing/2014/chart" uri="{C3380CC4-5D6E-409C-BE32-E72D297353CC}">
              <c16:uniqueId val="{0000000D-07F4-064C-9EE3-40BE7CFE37C3}"/>
            </c:ext>
          </c:extLst>
        </c:ser>
        <c:ser>
          <c:idx val="8"/>
          <c:order val="8"/>
          <c:tx>
            <c:strRef>
              <c:f>'[1]Johnson''s'!$K$34</c:f>
              <c:strCache>
                <c:ptCount val="1"/>
                <c:pt idx="0">
                  <c:v>K</c:v>
                </c:pt>
              </c:strCache>
            </c:strRef>
          </c:tx>
          <c:spPr>
            <a:solidFill>
              <a:srgbClr val="000080"/>
            </a:solidFill>
            <a:ln w="12700">
              <a:solidFill>
                <a:srgbClr val="000000"/>
              </a:solidFill>
              <a:prstDash val="solid"/>
            </a:ln>
          </c:spPr>
          <c:invertIfNegative val="0"/>
          <c:dPt>
            <c:idx val="0"/>
            <c:invertIfNegative val="0"/>
            <c:bubble3D val="0"/>
            <c:spPr>
              <a:solidFill>
                <a:srgbClr val="0066CC"/>
              </a:solidFill>
              <a:ln w="12700">
                <a:solidFill>
                  <a:srgbClr val="000000"/>
                </a:solidFill>
                <a:prstDash val="solid"/>
              </a:ln>
            </c:spPr>
            <c:extLst>
              <c:ext xmlns:c16="http://schemas.microsoft.com/office/drawing/2014/chart" uri="{C3380CC4-5D6E-409C-BE32-E72D297353CC}">
                <c16:uniqueId val="{0000000E-07F4-064C-9EE3-40BE7CFE37C3}"/>
              </c:ext>
            </c:extLst>
          </c:dPt>
          <c:cat>
            <c:strRef>
              <c:f>'[1]Johnson''s'!$L$25</c:f>
              <c:strCache>
                <c:ptCount val="1"/>
                <c:pt idx="0">
                  <c:v>#3</c:v>
                </c:pt>
              </c:strCache>
            </c:strRef>
          </c:cat>
          <c:val>
            <c:numRef>
              <c:f>'[1]Johnson''s'!$L$34</c:f>
              <c:numCache>
                <c:formatCode>General</c:formatCode>
                <c:ptCount val="1"/>
                <c:pt idx="0">
                  <c:v>3</c:v>
                </c:pt>
              </c:numCache>
            </c:numRef>
          </c:val>
          <c:extLst>
            <c:ext xmlns:c16="http://schemas.microsoft.com/office/drawing/2014/chart" uri="{C3380CC4-5D6E-409C-BE32-E72D297353CC}">
              <c16:uniqueId val="{0000000F-07F4-064C-9EE3-40BE7CFE37C3}"/>
            </c:ext>
          </c:extLst>
        </c:ser>
        <c:ser>
          <c:idx val="9"/>
          <c:order val="9"/>
          <c:tx>
            <c:strRef>
              <c:f>'[1]Johnson''s'!$K$35</c:f>
              <c:strCache>
                <c:ptCount val="1"/>
                <c:pt idx="0">
                  <c:v>IDLE3</c:v>
                </c:pt>
              </c:strCache>
            </c:strRef>
          </c:tx>
          <c:spPr>
            <a:noFill/>
            <a:ln w="12700">
              <a:solidFill>
                <a:srgbClr val="000000"/>
              </a:solidFill>
              <a:prstDash val="solid"/>
            </a:ln>
          </c:spPr>
          <c:invertIfNegative val="0"/>
          <c:cat>
            <c:strRef>
              <c:f>'[1]Johnson''s'!$L$25</c:f>
              <c:strCache>
                <c:ptCount val="1"/>
                <c:pt idx="0">
                  <c:v>#3</c:v>
                </c:pt>
              </c:strCache>
            </c:strRef>
          </c:cat>
          <c:val>
            <c:numRef>
              <c:f>'[1]Johnson''s'!$L$35</c:f>
              <c:numCache>
                <c:formatCode>General</c:formatCode>
                <c:ptCount val="1"/>
                <c:pt idx="0">
                  <c:v>31</c:v>
                </c:pt>
              </c:numCache>
            </c:numRef>
          </c:val>
          <c:extLst>
            <c:ext xmlns:c16="http://schemas.microsoft.com/office/drawing/2014/chart" uri="{C3380CC4-5D6E-409C-BE32-E72D297353CC}">
              <c16:uniqueId val="{00000010-07F4-064C-9EE3-40BE7CFE37C3}"/>
            </c:ext>
          </c:extLst>
        </c:ser>
        <c:ser>
          <c:idx val="10"/>
          <c:order val="10"/>
          <c:tx>
            <c:strRef>
              <c:f>'[1]Johnson''s'!$K$36</c:f>
              <c:strCache>
                <c:ptCount val="1"/>
                <c:pt idx="0">
                  <c:v>T</c:v>
                </c:pt>
              </c:strCache>
            </c:strRef>
          </c:tx>
          <c:spPr>
            <a:solidFill>
              <a:srgbClr val="FFFF00"/>
            </a:solidFill>
            <a:ln w="12700">
              <a:solidFill>
                <a:srgbClr val="000000"/>
              </a:solidFill>
              <a:prstDash val="solid"/>
            </a:ln>
          </c:spPr>
          <c:invertIfNegative val="0"/>
          <c:dPt>
            <c:idx val="0"/>
            <c:invertIfNegative val="0"/>
            <c:bubble3D val="0"/>
            <c:spPr>
              <a:solidFill>
                <a:srgbClr val="CCCCFF"/>
              </a:solidFill>
              <a:ln w="12700">
                <a:solidFill>
                  <a:srgbClr val="000000"/>
                </a:solidFill>
                <a:prstDash val="solid"/>
              </a:ln>
            </c:spPr>
            <c:extLst>
              <c:ext xmlns:c16="http://schemas.microsoft.com/office/drawing/2014/chart" uri="{C3380CC4-5D6E-409C-BE32-E72D297353CC}">
                <c16:uniqueId val="{00000011-07F4-064C-9EE3-40BE7CFE37C3}"/>
              </c:ext>
            </c:extLst>
          </c:dPt>
          <c:cat>
            <c:strRef>
              <c:f>'[1]Johnson''s'!$L$25</c:f>
              <c:strCache>
                <c:ptCount val="1"/>
                <c:pt idx="0">
                  <c:v>#3</c:v>
                </c:pt>
              </c:strCache>
            </c:strRef>
          </c:cat>
          <c:val>
            <c:numRef>
              <c:f>'[1]Johnson''s'!$L$36</c:f>
              <c:numCache>
                <c:formatCode>General</c:formatCode>
                <c:ptCount val="1"/>
                <c:pt idx="0">
                  <c:v>2</c:v>
                </c:pt>
              </c:numCache>
            </c:numRef>
          </c:val>
          <c:extLst>
            <c:ext xmlns:c16="http://schemas.microsoft.com/office/drawing/2014/chart" uri="{C3380CC4-5D6E-409C-BE32-E72D297353CC}">
              <c16:uniqueId val="{00000012-07F4-064C-9EE3-40BE7CFE37C3}"/>
            </c:ext>
          </c:extLst>
        </c:ser>
        <c:dLbls>
          <c:showLegendKey val="0"/>
          <c:showVal val="0"/>
          <c:showCatName val="0"/>
          <c:showSerName val="0"/>
          <c:showPercent val="0"/>
          <c:showBubbleSize val="0"/>
        </c:dLbls>
        <c:gapWidth val="150"/>
        <c:overlap val="100"/>
        <c:axId val="2098219200"/>
        <c:axId val="1"/>
      </c:barChart>
      <c:catAx>
        <c:axId val="20982192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Times New Roman"/>
                <a:ea typeface="Times New Roman"/>
                <a:cs typeface="Times New Roman"/>
              </a:defRPr>
            </a:pPr>
            <a:endParaRPr lang="en-US"/>
          </a:p>
        </c:txPr>
        <c:crossAx val="1"/>
        <c:crosses val="autoZero"/>
        <c:auto val="1"/>
        <c:lblAlgn val="ctr"/>
        <c:lblOffset val="100"/>
        <c:tickLblSkip val="1"/>
        <c:tickMarkSkip val="1"/>
        <c:noMultiLvlLbl val="0"/>
      </c:catAx>
      <c:valAx>
        <c:axId val="1"/>
        <c:scaling>
          <c:orientation val="minMax"/>
          <c:max val="104"/>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Times New Roman"/>
                <a:ea typeface="Times New Roman"/>
                <a:cs typeface="Times New Roman"/>
              </a:defRPr>
            </a:pPr>
            <a:endParaRPr lang="en-US"/>
          </a:p>
        </c:txPr>
        <c:crossAx val="2098219200"/>
        <c:crosses val="autoZero"/>
        <c:crossBetween val="between"/>
        <c:majorUnit val="4"/>
      </c:valAx>
      <c:spPr>
        <a:noFill/>
        <a:ln w="12700">
          <a:solidFill>
            <a:srgbClr val="808080"/>
          </a:solidFill>
          <a:prstDash val="solid"/>
        </a:ln>
      </c:spPr>
    </c:plotArea>
    <c:legend>
      <c:legendPos val="r"/>
      <c:layout>
        <c:manualLayout>
          <c:xMode val="edge"/>
          <c:yMode val="edge"/>
          <c:x val="0.9579520361600139"/>
          <c:y val="4.5977011494252873E-2"/>
          <c:w val="2.3765996343692919E-2"/>
          <c:h val="0.91953479952936923"/>
        </c:manualLayout>
      </c:layout>
      <c:overlay val="0"/>
      <c:spPr>
        <a:solidFill>
          <a:srgbClr val="FFFFFF"/>
        </a:solidFill>
        <a:ln w="3175">
          <a:solidFill>
            <a:srgbClr val="000000"/>
          </a:solidFill>
          <a:prstDash val="solid"/>
        </a:ln>
      </c:spPr>
      <c:txPr>
        <a:bodyPr/>
        <a:lstStyle/>
        <a:p>
          <a:pPr>
            <a:defRPr sz="17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22" r="0.75000000000000022"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Johnson_Gantt!$I$15</c:f>
              <c:strCache>
                <c:ptCount val="1"/>
                <c:pt idx="0">
                  <c:v>JS</c:v>
                </c:pt>
              </c:strCache>
            </c:strRef>
          </c:tx>
          <c:spPr>
            <a:solidFill>
              <a:srgbClr val="4572A7"/>
            </a:solidFill>
            <a:ln w="25400">
              <a:noFill/>
            </a:ln>
          </c:spPr>
          <c:invertIfNegative val="0"/>
          <c:cat>
            <c:strRef>
              <c:f>Johnson_Gantt!$J$14</c:f>
              <c:strCache>
                <c:ptCount val="1"/>
                <c:pt idx="0">
                  <c:v>#1</c:v>
                </c:pt>
              </c:strCache>
            </c:strRef>
          </c:cat>
          <c:val>
            <c:numRef>
              <c:f>Johnson_Gantt!$J$15</c:f>
              <c:numCache>
                <c:formatCode>General</c:formatCode>
                <c:ptCount val="1"/>
                <c:pt idx="0">
                  <c:v>7</c:v>
                </c:pt>
              </c:numCache>
            </c:numRef>
          </c:val>
          <c:extLst>
            <c:ext xmlns:c16="http://schemas.microsoft.com/office/drawing/2014/chart" uri="{C3380CC4-5D6E-409C-BE32-E72D297353CC}">
              <c16:uniqueId val="{00000000-6AF4-1741-A0F3-6863760AE221}"/>
            </c:ext>
          </c:extLst>
        </c:ser>
        <c:ser>
          <c:idx val="1"/>
          <c:order val="1"/>
          <c:tx>
            <c:strRef>
              <c:f>Johnson_Gantt!$I$16</c:f>
              <c:strCache>
                <c:ptCount val="1"/>
                <c:pt idx="0">
                  <c:v>FB</c:v>
                </c:pt>
              </c:strCache>
            </c:strRef>
          </c:tx>
          <c:spPr>
            <a:solidFill>
              <a:srgbClr val="AA4643"/>
            </a:solidFill>
            <a:ln w="25400">
              <a:noFill/>
            </a:ln>
          </c:spPr>
          <c:invertIfNegative val="0"/>
          <c:cat>
            <c:strRef>
              <c:f>Johnson_Gantt!$J$14</c:f>
              <c:strCache>
                <c:ptCount val="1"/>
                <c:pt idx="0">
                  <c:v>#1</c:v>
                </c:pt>
              </c:strCache>
            </c:strRef>
          </c:cat>
          <c:val>
            <c:numRef>
              <c:f>Johnson_Gantt!$J$16</c:f>
              <c:numCache>
                <c:formatCode>General</c:formatCode>
                <c:ptCount val="1"/>
                <c:pt idx="0">
                  <c:v>112</c:v>
                </c:pt>
              </c:numCache>
            </c:numRef>
          </c:val>
          <c:extLst>
            <c:ext xmlns:c16="http://schemas.microsoft.com/office/drawing/2014/chart" uri="{C3380CC4-5D6E-409C-BE32-E72D297353CC}">
              <c16:uniqueId val="{00000001-6AF4-1741-A0F3-6863760AE221}"/>
            </c:ext>
          </c:extLst>
        </c:ser>
        <c:ser>
          <c:idx val="2"/>
          <c:order val="2"/>
          <c:tx>
            <c:strRef>
              <c:f>Johnson_Gantt!$I$17</c:f>
              <c:strCache>
                <c:ptCount val="1"/>
                <c:pt idx="0">
                  <c:v>NS</c:v>
                </c:pt>
              </c:strCache>
            </c:strRef>
          </c:tx>
          <c:spPr>
            <a:solidFill>
              <a:srgbClr val="89A54E"/>
            </a:solidFill>
            <a:ln w="25400">
              <a:noFill/>
            </a:ln>
          </c:spPr>
          <c:invertIfNegative val="0"/>
          <c:cat>
            <c:strRef>
              <c:f>Johnson_Gantt!$J$14</c:f>
              <c:strCache>
                <c:ptCount val="1"/>
                <c:pt idx="0">
                  <c:v>#1</c:v>
                </c:pt>
              </c:strCache>
            </c:strRef>
          </c:cat>
          <c:val>
            <c:numRef>
              <c:f>Johnson_Gantt!$J$17</c:f>
              <c:numCache>
                <c:formatCode>General</c:formatCode>
                <c:ptCount val="1"/>
                <c:pt idx="0">
                  <c:v>54</c:v>
                </c:pt>
              </c:numCache>
            </c:numRef>
          </c:val>
          <c:extLst>
            <c:ext xmlns:c16="http://schemas.microsoft.com/office/drawing/2014/chart" uri="{C3380CC4-5D6E-409C-BE32-E72D297353CC}">
              <c16:uniqueId val="{00000002-6AF4-1741-A0F3-6863760AE221}"/>
            </c:ext>
          </c:extLst>
        </c:ser>
        <c:ser>
          <c:idx val="3"/>
          <c:order val="3"/>
          <c:tx>
            <c:strRef>
              <c:f>Johnson_Gantt!$I$18</c:f>
              <c:strCache>
                <c:ptCount val="1"/>
                <c:pt idx="0">
                  <c:v>S24</c:v>
                </c:pt>
              </c:strCache>
            </c:strRef>
          </c:tx>
          <c:spPr>
            <a:solidFill>
              <a:srgbClr val="71588F"/>
            </a:solidFill>
            <a:ln w="25400">
              <a:noFill/>
            </a:ln>
          </c:spPr>
          <c:invertIfNegative val="0"/>
          <c:cat>
            <c:strRef>
              <c:f>Johnson_Gantt!$J$14</c:f>
              <c:strCache>
                <c:ptCount val="1"/>
                <c:pt idx="0">
                  <c:v>#1</c:v>
                </c:pt>
              </c:strCache>
            </c:strRef>
          </c:cat>
          <c:val>
            <c:numRef>
              <c:f>Johnson_Gantt!$J$18</c:f>
              <c:numCache>
                <c:formatCode>General</c:formatCode>
                <c:ptCount val="1"/>
                <c:pt idx="0">
                  <c:v>22</c:v>
                </c:pt>
              </c:numCache>
            </c:numRef>
          </c:val>
          <c:extLst>
            <c:ext xmlns:c16="http://schemas.microsoft.com/office/drawing/2014/chart" uri="{C3380CC4-5D6E-409C-BE32-E72D297353CC}">
              <c16:uniqueId val="{00000003-6AF4-1741-A0F3-6863760AE221}"/>
            </c:ext>
          </c:extLst>
        </c:ser>
        <c:ser>
          <c:idx val="4"/>
          <c:order val="4"/>
          <c:tx>
            <c:strRef>
              <c:f>Johnson_Gantt!$I$19</c:f>
              <c:strCache>
                <c:ptCount val="1"/>
                <c:pt idx="0">
                  <c:v>GS</c:v>
                </c:pt>
              </c:strCache>
            </c:strRef>
          </c:tx>
          <c:spPr>
            <a:solidFill>
              <a:srgbClr val="4198AF"/>
            </a:solidFill>
            <a:ln w="25400">
              <a:noFill/>
            </a:ln>
          </c:spPr>
          <c:invertIfNegative val="0"/>
          <c:cat>
            <c:strRef>
              <c:f>Johnson_Gantt!$J$14</c:f>
              <c:strCache>
                <c:ptCount val="1"/>
                <c:pt idx="0">
                  <c:v>#1</c:v>
                </c:pt>
              </c:strCache>
            </c:strRef>
          </c:cat>
          <c:val>
            <c:numRef>
              <c:f>Johnson_Gantt!$J$19</c:f>
              <c:numCache>
                <c:formatCode>General</c:formatCode>
                <c:ptCount val="1"/>
                <c:pt idx="0">
                  <c:v>34</c:v>
                </c:pt>
              </c:numCache>
            </c:numRef>
          </c:val>
          <c:extLst>
            <c:ext xmlns:c16="http://schemas.microsoft.com/office/drawing/2014/chart" uri="{C3380CC4-5D6E-409C-BE32-E72D297353CC}">
              <c16:uniqueId val="{00000004-6AF4-1741-A0F3-6863760AE221}"/>
            </c:ext>
          </c:extLst>
        </c:ser>
        <c:ser>
          <c:idx val="5"/>
          <c:order val="5"/>
          <c:tx>
            <c:strRef>
              <c:f>Johnson_Gantt!$I$20</c:f>
              <c:strCache>
                <c:ptCount val="1"/>
                <c:pt idx="0">
                  <c:v>RR</c:v>
                </c:pt>
              </c:strCache>
            </c:strRef>
          </c:tx>
          <c:spPr>
            <a:solidFill>
              <a:srgbClr val="DB843D"/>
            </a:solidFill>
            <a:ln w="25400">
              <a:noFill/>
            </a:ln>
          </c:spPr>
          <c:invertIfNegative val="0"/>
          <c:cat>
            <c:strRef>
              <c:f>Johnson_Gantt!$J$14</c:f>
              <c:strCache>
                <c:ptCount val="1"/>
                <c:pt idx="0">
                  <c:v>#1</c:v>
                </c:pt>
              </c:strCache>
            </c:strRef>
          </c:cat>
          <c:val>
            <c:numRef>
              <c:f>Johnson_Gantt!$J$20</c:f>
              <c:numCache>
                <c:formatCode>General</c:formatCode>
                <c:ptCount val="1"/>
                <c:pt idx="0">
                  <c:v>57</c:v>
                </c:pt>
              </c:numCache>
            </c:numRef>
          </c:val>
          <c:extLst>
            <c:ext xmlns:c16="http://schemas.microsoft.com/office/drawing/2014/chart" uri="{C3380CC4-5D6E-409C-BE32-E72D297353CC}">
              <c16:uniqueId val="{00000005-6AF4-1741-A0F3-6863760AE221}"/>
            </c:ext>
          </c:extLst>
        </c:ser>
        <c:ser>
          <c:idx val="6"/>
          <c:order val="6"/>
          <c:tx>
            <c:strRef>
              <c:f>Johnson_Gantt!$I$21</c:f>
              <c:strCache>
                <c:ptCount val="1"/>
                <c:pt idx="0">
                  <c:v>ED</c:v>
                </c:pt>
              </c:strCache>
            </c:strRef>
          </c:tx>
          <c:spPr>
            <a:solidFill>
              <a:srgbClr val="93A9CF"/>
            </a:solidFill>
            <a:ln w="25400">
              <a:noFill/>
            </a:ln>
          </c:spPr>
          <c:invertIfNegative val="0"/>
          <c:cat>
            <c:strRef>
              <c:f>Johnson_Gantt!$J$14</c:f>
              <c:strCache>
                <c:ptCount val="1"/>
                <c:pt idx="0">
                  <c:v>#1</c:v>
                </c:pt>
              </c:strCache>
            </c:strRef>
          </c:cat>
          <c:val>
            <c:numRef>
              <c:f>Johnson_Gantt!$J$21</c:f>
              <c:numCache>
                <c:formatCode>General</c:formatCode>
                <c:ptCount val="1"/>
                <c:pt idx="0">
                  <c:v>11</c:v>
                </c:pt>
              </c:numCache>
            </c:numRef>
          </c:val>
          <c:extLst>
            <c:ext xmlns:c16="http://schemas.microsoft.com/office/drawing/2014/chart" uri="{C3380CC4-5D6E-409C-BE32-E72D297353CC}">
              <c16:uniqueId val="{00000006-6AF4-1741-A0F3-6863760AE221}"/>
            </c:ext>
          </c:extLst>
        </c:ser>
        <c:ser>
          <c:idx val="7"/>
          <c:order val="7"/>
          <c:tx>
            <c:strRef>
              <c:f>Johnson_Gantt!$I$22</c:f>
              <c:strCache>
                <c:ptCount val="1"/>
                <c:pt idx="0">
                  <c:v>CD</c:v>
                </c:pt>
              </c:strCache>
            </c:strRef>
          </c:tx>
          <c:spPr>
            <a:solidFill>
              <a:srgbClr val="D19392"/>
            </a:solidFill>
            <a:ln w="25400">
              <a:noFill/>
            </a:ln>
          </c:spPr>
          <c:invertIfNegative val="0"/>
          <c:cat>
            <c:strRef>
              <c:f>Johnson_Gantt!$J$14</c:f>
              <c:strCache>
                <c:ptCount val="1"/>
                <c:pt idx="0">
                  <c:v>#1</c:v>
                </c:pt>
              </c:strCache>
            </c:strRef>
          </c:cat>
          <c:val>
            <c:numRef>
              <c:f>Johnson_Gantt!$J$22</c:f>
              <c:numCache>
                <c:formatCode>General</c:formatCode>
                <c:ptCount val="1"/>
                <c:pt idx="0">
                  <c:v>15</c:v>
                </c:pt>
              </c:numCache>
            </c:numRef>
          </c:val>
          <c:extLst>
            <c:ext xmlns:c16="http://schemas.microsoft.com/office/drawing/2014/chart" uri="{C3380CC4-5D6E-409C-BE32-E72D297353CC}">
              <c16:uniqueId val="{00000007-6AF4-1741-A0F3-6863760AE221}"/>
            </c:ext>
          </c:extLst>
        </c:ser>
        <c:ser>
          <c:idx val="8"/>
          <c:order val="8"/>
          <c:tx>
            <c:strRef>
              <c:f>Johnson_Gantt!$I$23</c:f>
              <c:strCache>
                <c:ptCount val="1"/>
                <c:pt idx="0">
                  <c:v>IDLE1END</c:v>
                </c:pt>
              </c:strCache>
            </c:strRef>
          </c:tx>
          <c:spPr>
            <a:solidFill>
              <a:srgbClr val="B9CD96"/>
            </a:solidFill>
            <a:ln w="25400">
              <a:noFill/>
            </a:ln>
          </c:spPr>
          <c:invertIfNegative val="0"/>
          <c:cat>
            <c:strRef>
              <c:f>Johnson_Gantt!$J$14</c:f>
              <c:strCache>
                <c:ptCount val="1"/>
                <c:pt idx="0">
                  <c:v>#1</c:v>
                </c:pt>
              </c:strCache>
            </c:strRef>
          </c:cat>
          <c:val>
            <c:numRef>
              <c:f>Johnson_Gantt!$J$23</c:f>
              <c:numCache>
                <c:formatCode>General</c:formatCode>
                <c:ptCount val="1"/>
                <c:pt idx="0">
                  <c:v>10</c:v>
                </c:pt>
              </c:numCache>
            </c:numRef>
          </c:val>
          <c:extLst>
            <c:ext xmlns:c16="http://schemas.microsoft.com/office/drawing/2014/chart" uri="{C3380CC4-5D6E-409C-BE32-E72D297353CC}">
              <c16:uniqueId val="{00000008-6AF4-1741-A0F3-6863760AE221}"/>
            </c:ext>
          </c:extLst>
        </c:ser>
        <c:dLbls>
          <c:showLegendKey val="0"/>
          <c:showVal val="0"/>
          <c:showCatName val="0"/>
          <c:showSerName val="0"/>
          <c:showPercent val="0"/>
          <c:showBubbleSize val="0"/>
        </c:dLbls>
        <c:gapWidth val="150"/>
        <c:overlap val="100"/>
        <c:axId val="2098865184"/>
        <c:axId val="1"/>
      </c:barChart>
      <c:catAx>
        <c:axId val="2098865184"/>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098865184"/>
        <c:crosses val="autoZero"/>
        <c:crossBetween val="between"/>
        <c:majorUnit val="20"/>
      </c:valAx>
      <c:spPr>
        <a:solidFill>
          <a:srgbClr val="FFFFFF"/>
        </a:solidFill>
        <a:ln w="25400">
          <a:noFill/>
        </a:ln>
      </c:spPr>
    </c:plotArea>
    <c:legend>
      <c:legendPos val="r"/>
      <c:layout>
        <c:manualLayout>
          <c:xMode val="edge"/>
          <c:yMode val="edge"/>
          <c:x val="0.31593049362805553"/>
          <c:y val="0.87922819430179922"/>
          <c:w val="0.36412326471239292"/>
          <c:h val="8.6956521739130377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Johnson_Gantt!$K$15</c:f>
              <c:strCache>
                <c:ptCount val="1"/>
                <c:pt idx="0">
                  <c:v>IDLE2START</c:v>
                </c:pt>
              </c:strCache>
            </c:strRef>
          </c:tx>
          <c:spPr>
            <a:solidFill>
              <a:srgbClr val="40699C"/>
            </a:solidFill>
            <a:ln w="25400">
              <a:noFill/>
            </a:ln>
          </c:spPr>
          <c:invertIfNegative val="0"/>
          <c:cat>
            <c:strRef>
              <c:f>Johnson_Gantt!$L$14</c:f>
              <c:strCache>
                <c:ptCount val="1"/>
                <c:pt idx="0">
                  <c:v>#2</c:v>
                </c:pt>
              </c:strCache>
            </c:strRef>
          </c:cat>
          <c:val>
            <c:numRef>
              <c:f>Johnson_Gantt!$L$15</c:f>
              <c:numCache>
                <c:formatCode>0.0</c:formatCode>
                <c:ptCount val="1"/>
                <c:pt idx="0">
                  <c:v>7</c:v>
                </c:pt>
              </c:numCache>
            </c:numRef>
          </c:val>
          <c:extLst>
            <c:ext xmlns:c16="http://schemas.microsoft.com/office/drawing/2014/chart" uri="{C3380CC4-5D6E-409C-BE32-E72D297353CC}">
              <c16:uniqueId val="{00000000-354E-674F-B869-DB89BED5AD6D}"/>
            </c:ext>
          </c:extLst>
        </c:ser>
        <c:ser>
          <c:idx val="1"/>
          <c:order val="1"/>
          <c:tx>
            <c:strRef>
              <c:f>Johnson_Gantt!$K$16</c:f>
              <c:strCache>
                <c:ptCount val="1"/>
                <c:pt idx="0">
                  <c:v>JS</c:v>
                </c:pt>
              </c:strCache>
            </c:strRef>
          </c:tx>
          <c:spPr>
            <a:solidFill>
              <a:srgbClr val="9E413E"/>
            </a:solidFill>
            <a:ln w="25400">
              <a:noFill/>
            </a:ln>
          </c:spPr>
          <c:invertIfNegative val="0"/>
          <c:cat>
            <c:strRef>
              <c:f>Johnson_Gantt!$L$14</c:f>
              <c:strCache>
                <c:ptCount val="1"/>
                <c:pt idx="0">
                  <c:v>#2</c:v>
                </c:pt>
              </c:strCache>
            </c:strRef>
          </c:cat>
          <c:val>
            <c:numRef>
              <c:f>Johnson_Gantt!$L$16</c:f>
              <c:numCache>
                <c:formatCode>0.0</c:formatCode>
                <c:ptCount val="1"/>
                <c:pt idx="0">
                  <c:v>3</c:v>
                </c:pt>
              </c:numCache>
            </c:numRef>
          </c:val>
          <c:extLst>
            <c:ext xmlns:c16="http://schemas.microsoft.com/office/drawing/2014/chart" uri="{C3380CC4-5D6E-409C-BE32-E72D297353CC}">
              <c16:uniqueId val="{00000001-354E-674F-B869-DB89BED5AD6D}"/>
            </c:ext>
          </c:extLst>
        </c:ser>
        <c:ser>
          <c:idx val="2"/>
          <c:order val="2"/>
          <c:tx>
            <c:strRef>
              <c:f>Johnson_Gantt!$K$17</c:f>
              <c:strCache>
                <c:ptCount val="1"/>
                <c:pt idx="0">
                  <c:v>IDLE2A</c:v>
                </c:pt>
              </c:strCache>
            </c:strRef>
          </c:tx>
          <c:spPr>
            <a:solidFill>
              <a:srgbClr val="7F9A48"/>
            </a:solidFill>
            <a:ln w="25400">
              <a:noFill/>
            </a:ln>
          </c:spPr>
          <c:invertIfNegative val="0"/>
          <c:cat>
            <c:strRef>
              <c:f>Johnson_Gantt!$L$14</c:f>
              <c:strCache>
                <c:ptCount val="1"/>
                <c:pt idx="0">
                  <c:v>#2</c:v>
                </c:pt>
              </c:strCache>
            </c:strRef>
          </c:cat>
          <c:val>
            <c:numRef>
              <c:f>Johnson_Gantt!$L$17</c:f>
              <c:numCache>
                <c:formatCode>0.0</c:formatCode>
                <c:ptCount val="1"/>
                <c:pt idx="0">
                  <c:v>109</c:v>
                </c:pt>
              </c:numCache>
            </c:numRef>
          </c:val>
          <c:extLst>
            <c:ext xmlns:c16="http://schemas.microsoft.com/office/drawing/2014/chart" uri="{C3380CC4-5D6E-409C-BE32-E72D297353CC}">
              <c16:uniqueId val="{00000002-354E-674F-B869-DB89BED5AD6D}"/>
            </c:ext>
          </c:extLst>
        </c:ser>
        <c:ser>
          <c:idx val="3"/>
          <c:order val="3"/>
          <c:tx>
            <c:strRef>
              <c:f>Johnson_Gantt!$K$18</c:f>
              <c:strCache>
                <c:ptCount val="1"/>
                <c:pt idx="0">
                  <c:v>FB</c:v>
                </c:pt>
              </c:strCache>
            </c:strRef>
          </c:tx>
          <c:spPr>
            <a:solidFill>
              <a:srgbClr val="695185"/>
            </a:solidFill>
            <a:ln w="25400">
              <a:noFill/>
            </a:ln>
          </c:spPr>
          <c:invertIfNegative val="0"/>
          <c:cat>
            <c:strRef>
              <c:f>Johnson_Gantt!$L$14</c:f>
              <c:strCache>
                <c:ptCount val="1"/>
                <c:pt idx="0">
                  <c:v>#2</c:v>
                </c:pt>
              </c:strCache>
            </c:strRef>
          </c:cat>
          <c:val>
            <c:numRef>
              <c:f>Johnson_Gantt!$L$18</c:f>
              <c:numCache>
                <c:formatCode>0.0</c:formatCode>
                <c:ptCount val="1"/>
                <c:pt idx="0">
                  <c:v>61</c:v>
                </c:pt>
              </c:numCache>
            </c:numRef>
          </c:val>
          <c:extLst>
            <c:ext xmlns:c16="http://schemas.microsoft.com/office/drawing/2014/chart" uri="{C3380CC4-5D6E-409C-BE32-E72D297353CC}">
              <c16:uniqueId val="{00000003-354E-674F-B869-DB89BED5AD6D}"/>
            </c:ext>
          </c:extLst>
        </c:ser>
        <c:ser>
          <c:idx val="4"/>
          <c:order val="4"/>
          <c:tx>
            <c:strRef>
              <c:f>Johnson_Gantt!$K$19</c:f>
              <c:strCache>
                <c:ptCount val="1"/>
                <c:pt idx="0">
                  <c:v>IDLE2B</c:v>
                </c:pt>
              </c:strCache>
            </c:strRef>
          </c:tx>
          <c:spPr>
            <a:solidFill>
              <a:srgbClr val="3C8DA3"/>
            </a:solidFill>
            <a:ln w="25400">
              <a:noFill/>
            </a:ln>
          </c:spPr>
          <c:invertIfNegative val="0"/>
          <c:cat>
            <c:strRef>
              <c:f>Johnson_Gantt!$L$14</c:f>
              <c:strCache>
                <c:ptCount val="1"/>
                <c:pt idx="0">
                  <c:v>#2</c:v>
                </c:pt>
              </c:strCache>
            </c:strRef>
          </c:cat>
          <c:val>
            <c:numRef>
              <c:f>Johnson_Gantt!$L$19</c:f>
              <c:numCache>
                <c:formatCode>0.0</c:formatCode>
                <c:ptCount val="1"/>
                <c:pt idx="0">
                  <c:v>0</c:v>
                </c:pt>
              </c:numCache>
            </c:numRef>
          </c:val>
          <c:extLst>
            <c:ext xmlns:c16="http://schemas.microsoft.com/office/drawing/2014/chart" uri="{C3380CC4-5D6E-409C-BE32-E72D297353CC}">
              <c16:uniqueId val="{00000004-354E-674F-B869-DB89BED5AD6D}"/>
            </c:ext>
          </c:extLst>
        </c:ser>
        <c:ser>
          <c:idx val="5"/>
          <c:order val="5"/>
          <c:tx>
            <c:strRef>
              <c:f>Johnson_Gantt!$K$20</c:f>
              <c:strCache>
                <c:ptCount val="1"/>
                <c:pt idx="0">
                  <c:v>NS</c:v>
                </c:pt>
              </c:strCache>
            </c:strRef>
          </c:tx>
          <c:spPr>
            <a:solidFill>
              <a:srgbClr val="CC7B38"/>
            </a:solidFill>
            <a:ln w="25400">
              <a:noFill/>
            </a:ln>
          </c:spPr>
          <c:invertIfNegative val="0"/>
          <c:cat>
            <c:strRef>
              <c:f>Johnson_Gantt!$L$14</c:f>
              <c:strCache>
                <c:ptCount val="1"/>
                <c:pt idx="0">
                  <c:v>#2</c:v>
                </c:pt>
              </c:strCache>
            </c:strRef>
          </c:cat>
          <c:val>
            <c:numRef>
              <c:f>Johnson_Gantt!$L$20</c:f>
              <c:numCache>
                <c:formatCode>0.0</c:formatCode>
                <c:ptCount val="1"/>
                <c:pt idx="0">
                  <c:v>43</c:v>
                </c:pt>
              </c:numCache>
            </c:numRef>
          </c:val>
          <c:extLst>
            <c:ext xmlns:c16="http://schemas.microsoft.com/office/drawing/2014/chart" uri="{C3380CC4-5D6E-409C-BE32-E72D297353CC}">
              <c16:uniqueId val="{00000005-354E-674F-B869-DB89BED5AD6D}"/>
            </c:ext>
          </c:extLst>
        </c:ser>
        <c:ser>
          <c:idx val="6"/>
          <c:order val="6"/>
          <c:tx>
            <c:strRef>
              <c:f>Johnson_Gantt!$K$21</c:f>
              <c:strCache>
                <c:ptCount val="1"/>
                <c:pt idx="0">
                  <c:v>IDLE2C</c:v>
                </c:pt>
              </c:strCache>
            </c:strRef>
          </c:tx>
          <c:spPr>
            <a:solidFill>
              <a:srgbClr val="4F81BD"/>
            </a:solidFill>
            <a:ln w="25400">
              <a:noFill/>
            </a:ln>
          </c:spPr>
          <c:invertIfNegative val="0"/>
          <c:cat>
            <c:strRef>
              <c:f>Johnson_Gantt!$L$14</c:f>
              <c:strCache>
                <c:ptCount val="1"/>
                <c:pt idx="0">
                  <c:v>#2</c:v>
                </c:pt>
              </c:strCache>
            </c:strRef>
          </c:cat>
          <c:val>
            <c:numRef>
              <c:f>Johnson_Gantt!$L$21</c:f>
              <c:numCache>
                <c:formatCode>0.0</c:formatCode>
                <c:ptCount val="1"/>
                <c:pt idx="0">
                  <c:v>0</c:v>
                </c:pt>
              </c:numCache>
            </c:numRef>
          </c:val>
          <c:extLst>
            <c:ext xmlns:c16="http://schemas.microsoft.com/office/drawing/2014/chart" uri="{C3380CC4-5D6E-409C-BE32-E72D297353CC}">
              <c16:uniqueId val="{00000006-354E-674F-B869-DB89BED5AD6D}"/>
            </c:ext>
          </c:extLst>
        </c:ser>
        <c:ser>
          <c:idx val="7"/>
          <c:order val="7"/>
          <c:tx>
            <c:strRef>
              <c:f>Johnson_Gantt!$K$22</c:f>
              <c:strCache>
                <c:ptCount val="1"/>
                <c:pt idx="0">
                  <c:v>S24</c:v>
                </c:pt>
              </c:strCache>
            </c:strRef>
          </c:tx>
          <c:spPr>
            <a:solidFill>
              <a:srgbClr val="C0504D"/>
            </a:solidFill>
            <a:ln w="25400">
              <a:noFill/>
            </a:ln>
          </c:spPr>
          <c:invertIfNegative val="0"/>
          <c:cat>
            <c:strRef>
              <c:f>Johnson_Gantt!$L$14</c:f>
              <c:strCache>
                <c:ptCount val="1"/>
                <c:pt idx="0">
                  <c:v>#2</c:v>
                </c:pt>
              </c:strCache>
            </c:strRef>
          </c:cat>
          <c:val>
            <c:numRef>
              <c:f>Johnson_Gantt!$L$22</c:f>
              <c:numCache>
                <c:formatCode>0.0</c:formatCode>
                <c:ptCount val="1"/>
                <c:pt idx="0">
                  <c:v>21</c:v>
                </c:pt>
              </c:numCache>
            </c:numRef>
          </c:val>
          <c:extLst>
            <c:ext xmlns:c16="http://schemas.microsoft.com/office/drawing/2014/chart" uri="{C3380CC4-5D6E-409C-BE32-E72D297353CC}">
              <c16:uniqueId val="{00000007-354E-674F-B869-DB89BED5AD6D}"/>
            </c:ext>
          </c:extLst>
        </c:ser>
        <c:ser>
          <c:idx val="8"/>
          <c:order val="8"/>
          <c:tx>
            <c:strRef>
              <c:f>Johnson_Gantt!$K$23</c:f>
              <c:strCache>
                <c:ptCount val="1"/>
                <c:pt idx="0">
                  <c:v>IDLE2D</c:v>
                </c:pt>
              </c:strCache>
            </c:strRef>
          </c:tx>
          <c:spPr>
            <a:solidFill>
              <a:srgbClr val="9BBB59"/>
            </a:solidFill>
            <a:ln w="25400">
              <a:noFill/>
            </a:ln>
          </c:spPr>
          <c:invertIfNegative val="0"/>
          <c:cat>
            <c:strRef>
              <c:f>Johnson_Gantt!$L$14</c:f>
              <c:strCache>
                <c:ptCount val="1"/>
                <c:pt idx="0">
                  <c:v>#2</c:v>
                </c:pt>
              </c:strCache>
            </c:strRef>
          </c:cat>
          <c:val>
            <c:numRef>
              <c:f>Johnson_Gantt!$L$23</c:f>
              <c:numCache>
                <c:formatCode>0.0</c:formatCode>
                <c:ptCount val="1"/>
                <c:pt idx="0">
                  <c:v>0</c:v>
                </c:pt>
              </c:numCache>
            </c:numRef>
          </c:val>
          <c:extLst>
            <c:ext xmlns:c16="http://schemas.microsoft.com/office/drawing/2014/chart" uri="{C3380CC4-5D6E-409C-BE32-E72D297353CC}">
              <c16:uniqueId val="{00000008-354E-674F-B869-DB89BED5AD6D}"/>
            </c:ext>
          </c:extLst>
        </c:ser>
        <c:ser>
          <c:idx val="9"/>
          <c:order val="9"/>
          <c:tx>
            <c:strRef>
              <c:f>Johnson_Gantt!$K$24</c:f>
              <c:strCache>
                <c:ptCount val="1"/>
                <c:pt idx="0">
                  <c:v>GS</c:v>
                </c:pt>
              </c:strCache>
            </c:strRef>
          </c:tx>
          <c:spPr>
            <a:solidFill>
              <a:srgbClr val="8064A2"/>
            </a:solidFill>
            <a:ln w="25400">
              <a:noFill/>
            </a:ln>
          </c:spPr>
          <c:invertIfNegative val="0"/>
          <c:cat>
            <c:strRef>
              <c:f>Johnson_Gantt!$L$14</c:f>
              <c:strCache>
                <c:ptCount val="1"/>
                <c:pt idx="0">
                  <c:v>#2</c:v>
                </c:pt>
              </c:strCache>
            </c:strRef>
          </c:cat>
          <c:val>
            <c:numRef>
              <c:f>Johnson_Gantt!$L$24</c:f>
              <c:numCache>
                <c:formatCode>0.0</c:formatCode>
                <c:ptCount val="1"/>
                <c:pt idx="0">
                  <c:v>10</c:v>
                </c:pt>
              </c:numCache>
            </c:numRef>
          </c:val>
          <c:extLst>
            <c:ext xmlns:c16="http://schemas.microsoft.com/office/drawing/2014/chart" uri="{C3380CC4-5D6E-409C-BE32-E72D297353CC}">
              <c16:uniqueId val="{00000009-354E-674F-B869-DB89BED5AD6D}"/>
            </c:ext>
          </c:extLst>
        </c:ser>
        <c:ser>
          <c:idx val="10"/>
          <c:order val="10"/>
          <c:tx>
            <c:strRef>
              <c:f>Johnson_Gantt!$K$25</c:f>
              <c:strCache>
                <c:ptCount val="1"/>
                <c:pt idx="0">
                  <c:v>IDLE2E</c:v>
                </c:pt>
              </c:strCache>
            </c:strRef>
          </c:tx>
          <c:spPr>
            <a:solidFill>
              <a:srgbClr val="4BACC6"/>
            </a:solidFill>
            <a:ln w="25400">
              <a:noFill/>
            </a:ln>
          </c:spPr>
          <c:invertIfNegative val="0"/>
          <c:cat>
            <c:strRef>
              <c:f>Johnson_Gantt!$L$14</c:f>
              <c:strCache>
                <c:ptCount val="1"/>
                <c:pt idx="0">
                  <c:v>#2</c:v>
                </c:pt>
              </c:strCache>
            </c:strRef>
          </c:cat>
          <c:val>
            <c:numRef>
              <c:f>Johnson_Gantt!$L$25</c:f>
              <c:numCache>
                <c:formatCode>0.0</c:formatCode>
                <c:ptCount val="1"/>
                <c:pt idx="0">
                  <c:v>32</c:v>
                </c:pt>
              </c:numCache>
            </c:numRef>
          </c:val>
          <c:extLst>
            <c:ext xmlns:c16="http://schemas.microsoft.com/office/drawing/2014/chart" uri="{C3380CC4-5D6E-409C-BE32-E72D297353CC}">
              <c16:uniqueId val="{0000000A-354E-674F-B869-DB89BED5AD6D}"/>
            </c:ext>
          </c:extLst>
        </c:ser>
        <c:ser>
          <c:idx val="11"/>
          <c:order val="11"/>
          <c:tx>
            <c:strRef>
              <c:f>Johnson_Gantt!$K$26</c:f>
              <c:strCache>
                <c:ptCount val="1"/>
                <c:pt idx="0">
                  <c:v>RR</c:v>
                </c:pt>
              </c:strCache>
            </c:strRef>
          </c:tx>
          <c:spPr>
            <a:solidFill>
              <a:srgbClr val="F79646"/>
            </a:solidFill>
            <a:ln w="25400">
              <a:noFill/>
            </a:ln>
          </c:spPr>
          <c:invertIfNegative val="0"/>
          <c:cat>
            <c:strRef>
              <c:f>Johnson_Gantt!$L$14</c:f>
              <c:strCache>
                <c:ptCount val="1"/>
                <c:pt idx="0">
                  <c:v>#2</c:v>
                </c:pt>
              </c:strCache>
            </c:strRef>
          </c:cat>
          <c:val>
            <c:numRef>
              <c:f>Johnson_Gantt!$L$26</c:f>
              <c:numCache>
                <c:formatCode>0.0</c:formatCode>
                <c:ptCount val="1"/>
                <c:pt idx="0">
                  <c:v>12</c:v>
                </c:pt>
              </c:numCache>
            </c:numRef>
          </c:val>
          <c:extLst>
            <c:ext xmlns:c16="http://schemas.microsoft.com/office/drawing/2014/chart" uri="{C3380CC4-5D6E-409C-BE32-E72D297353CC}">
              <c16:uniqueId val="{0000000B-354E-674F-B869-DB89BED5AD6D}"/>
            </c:ext>
          </c:extLst>
        </c:ser>
        <c:ser>
          <c:idx val="12"/>
          <c:order val="12"/>
          <c:tx>
            <c:strRef>
              <c:f>Johnson_Gantt!$K$27</c:f>
              <c:strCache>
                <c:ptCount val="1"/>
                <c:pt idx="0">
                  <c:v>IDLE2F</c:v>
                </c:pt>
              </c:strCache>
            </c:strRef>
          </c:tx>
          <c:spPr>
            <a:solidFill>
              <a:srgbClr val="AABAD7"/>
            </a:solidFill>
            <a:ln w="25400">
              <a:noFill/>
            </a:ln>
          </c:spPr>
          <c:invertIfNegative val="0"/>
          <c:cat>
            <c:strRef>
              <c:f>Johnson_Gantt!$L$14</c:f>
              <c:strCache>
                <c:ptCount val="1"/>
                <c:pt idx="0">
                  <c:v>#2</c:v>
                </c:pt>
              </c:strCache>
            </c:strRef>
          </c:cat>
          <c:val>
            <c:numRef>
              <c:f>Johnson_Gantt!$L$27</c:f>
              <c:numCache>
                <c:formatCode>0.0</c:formatCode>
                <c:ptCount val="1"/>
                <c:pt idx="0">
                  <c:v>0</c:v>
                </c:pt>
              </c:numCache>
            </c:numRef>
          </c:val>
          <c:extLst>
            <c:ext xmlns:c16="http://schemas.microsoft.com/office/drawing/2014/chart" uri="{C3380CC4-5D6E-409C-BE32-E72D297353CC}">
              <c16:uniqueId val="{0000000C-354E-674F-B869-DB89BED5AD6D}"/>
            </c:ext>
          </c:extLst>
        </c:ser>
        <c:ser>
          <c:idx val="13"/>
          <c:order val="13"/>
          <c:tx>
            <c:strRef>
              <c:f>Johnson_Gantt!$K$28</c:f>
              <c:strCache>
                <c:ptCount val="1"/>
                <c:pt idx="0">
                  <c:v>ED</c:v>
                </c:pt>
              </c:strCache>
            </c:strRef>
          </c:tx>
          <c:spPr>
            <a:solidFill>
              <a:srgbClr val="D9AAA9"/>
            </a:solidFill>
            <a:ln w="25400">
              <a:noFill/>
            </a:ln>
          </c:spPr>
          <c:invertIfNegative val="0"/>
          <c:cat>
            <c:strRef>
              <c:f>Johnson_Gantt!$L$14</c:f>
              <c:strCache>
                <c:ptCount val="1"/>
                <c:pt idx="0">
                  <c:v>#2</c:v>
                </c:pt>
              </c:strCache>
            </c:strRef>
          </c:cat>
          <c:val>
            <c:numRef>
              <c:f>Johnson_Gantt!$L$28</c:f>
              <c:numCache>
                <c:formatCode>0.0</c:formatCode>
                <c:ptCount val="1"/>
                <c:pt idx="0">
                  <c:v>11</c:v>
                </c:pt>
              </c:numCache>
            </c:numRef>
          </c:val>
          <c:extLst>
            <c:ext xmlns:c16="http://schemas.microsoft.com/office/drawing/2014/chart" uri="{C3380CC4-5D6E-409C-BE32-E72D297353CC}">
              <c16:uniqueId val="{0000000D-354E-674F-B869-DB89BED5AD6D}"/>
            </c:ext>
          </c:extLst>
        </c:ser>
        <c:ser>
          <c:idx val="14"/>
          <c:order val="14"/>
          <c:tx>
            <c:strRef>
              <c:f>Johnson_Gantt!$K$29</c:f>
              <c:strCache>
                <c:ptCount val="1"/>
                <c:pt idx="0">
                  <c:v>IDLE2G</c:v>
                </c:pt>
              </c:strCache>
            </c:strRef>
          </c:tx>
          <c:spPr>
            <a:solidFill>
              <a:srgbClr val="C6D6AC"/>
            </a:solidFill>
            <a:ln w="25400">
              <a:noFill/>
            </a:ln>
          </c:spPr>
          <c:invertIfNegative val="0"/>
          <c:cat>
            <c:strRef>
              <c:f>Johnson_Gantt!$L$14</c:f>
              <c:strCache>
                <c:ptCount val="1"/>
                <c:pt idx="0">
                  <c:v>#2</c:v>
                </c:pt>
              </c:strCache>
            </c:strRef>
          </c:cat>
          <c:val>
            <c:numRef>
              <c:f>Johnson_Gantt!$L$29</c:f>
              <c:numCache>
                <c:formatCode>General</c:formatCode>
                <c:ptCount val="1"/>
                <c:pt idx="0">
                  <c:v>3</c:v>
                </c:pt>
              </c:numCache>
            </c:numRef>
          </c:val>
          <c:extLst>
            <c:ext xmlns:c16="http://schemas.microsoft.com/office/drawing/2014/chart" uri="{C3380CC4-5D6E-409C-BE32-E72D297353CC}">
              <c16:uniqueId val="{0000000E-354E-674F-B869-DB89BED5AD6D}"/>
            </c:ext>
          </c:extLst>
        </c:ser>
        <c:ser>
          <c:idx val="15"/>
          <c:order val="15"/>
          <c:tx>
            <c:strRef>
              <c:f>Johnson_Gantt!$K$30</c:f>
              <c:strCache>
                <c:ptCount val="1"/>
                <c:pt idx="0">
                  <c:v>CD</c:v>
                </c:pt>
              </c:strCache>
            </c:strRef>
          </c:tx>
          <c:spPr>
            <a:solidFill>
              <a:srgbClr val="BAB0C9"/>
            </a:solidFill>
            <a:ln w="25400">
              <a:noFill/>
            </a:ln>
          </c:spPr>
          <c:invertIfNegative val="0"/>
          <c:cat>
            <c:strRef>
              <c:f>Johnson_Gantt!$L$14</c:f>
              <c:strCache>
                <c:ptCount val="1"/>
                <c:pt idx="0">
                  <c:v>#2</c:v>
                </c:pt>
              </c:strCache>
            </c:strRef>
          </c:cat>
          <c:val>
            <c:numRef>
              <c:f>Johnson_Gantt!$L$30</c:f>
              <c:numCache>
                <c:formatCode>0.0</c:formatCode>
                <c:ptCount val="1"/>
                <c:pt idx="0">
                  <c:v>2</c:v>
                </c:pt>
              </c:numCache>
            </c:numRef>
          </c:val>
          <c:extLst>
            <c:ext xmlns:c16="http://schemas.microsoft.com/office/drawing/2014/chart" uri="{C3380CC4-5D6E-409C-BE32-E72D297353CC}">
              <c16:uniqueId val="{0000000F-354E-674F-B869-DB89BED5AD6D}"/>
            </c:ext>
          </c:extLst>
        </c:ser>
        <c:ser>
          <c:idx val="16"/>
          <c:order val="16"/>
          <c:tx>
            <c:strRef>
              <c:f>Johnson_Gantt!$K$31</c:f>
              <c:strCache>
                <c:ptCount val="1"/>
                <c:pt idx="0">
                  <c:v>IDLE2END</c:v>
                </c:pt>
              </c:strCache>
            </c:strRef>
          </c:tx>
          <c:spPr>
            <a:solidFill>
              <a:srgbClr val="A9CEDC"/>
            </a:solidFill>
            <a:ln w="25400">
              <a:noFill/>
            </a:ln>
          </c:spPr>
          <c:invertIfNegative val="0"/>
          <c:cat>
            <c:strRef>
              <c:f>Johnson_Gantt!$L$14</c:f>
              <c:strCache>
                <c:ptCount val="1"/>
                <c:pt idx="0">
                  <c:v>#2</c:v>
                </c:pt>
              </c:strCache>
            </c:strRef>
          </c:cat>
          <c:val>
            <c:numRef>
              <c:f>Johnson_Gantt!$L$31</c:f>
              <c:numCache>
                <c:formatCode>0.0</c:formatCode>
                <c:ptCount val="1"/>
                <c:pt idx="0">
                  <c:v>8</c:v>
                </c:pt>
              </c:numCache>
            </c:numRef>
          </c:val>
          <c:extLst>
            <c:ext xmlns:c16="http://schemas.microsoft.com/office/drawing/2014/chart" uri="{C3380CC4-5D6E-409C-BE32-E72D297353CC}">
              <c16:uniqueId val="{00000010-354E-674F-B869-DB89BED5AD6D}"/>
            </c:ext>
          </c:extLst>
        </c:ser>
        <c:dLbls>
          <c:showLegendKey val="0"/>
          <c:showVal val="0"/>
          <c:showCatName val="0"/>
          <c:showSerName val="0"/>
          <c:showPercent val="0"/>
          <c:showBubbleSize val="0"/>
        </c:dLbls>
        <c:gapWidth val="150"/>
        <c:overlap val="100"/>
        <c:axId val="2099274592"/>
        <c:axId val="1"/>
      </c:barChart>
      <c:catAx>
        <c:axId val="2099274592"/>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3175">
              <a:solidFill>
                <a:srgbClr val="808080"/>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099274592"/>
        <c:crosses val="autoZero"/>
        <c:crossBetween val="between"/>
        <c:majorUnit val="20"/>
      </c:valAx>
      <c:spPr>
        <a:solidFill>
          <a:srgbClr val="FFFFFF"/>
        </a:solidFill>
        <a:ln w="25400">
          <a:noFill/>
        </a:ln>
      </c:spPr>
    </c:plotArea>
    <c:legend>
      <c:legendPos val="r"/>
      <c:layout>
        <c:manualLayout>
          <c:xMode val="edge"/>
          <c:yMode val="edge"/>
          <c:x val="0.26273458445040215"/>
          <c:y val="0.7149766061850964"/>
          <c:w val="0.47721179624664883"/>
          <c:h val="0.25603902773022935"/>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Johnson_Gantt!$M$15</c:f>
              <c:strCache>
                <c:ptCount val="1"/>
                <c:pt idx="0">
                  <c:v>IDLE3START</c:v>
                </c:pt>
              </c:strCache>
            </c:strRef>
          </c:tx>
          <c:spPr>
            <a:solidFill>
              <a:srgbClr val="40699C"/>
            </a:solidFill>
            <a:ln w="25400">
              <a:noFill/>
            </a:ln>
          </c:spPr>
          <c:invertIfNegative val="0"/>
          <c:cat>
            <c:strRef>
              <c:f>Johnson_Gantt!$N$14</c:f>
              <c:strCache>
                <c:ptCount val="1"/>
                <c:pt idx="0">
                  <c:v>#3</c:v>
                </c:pt>
              </c:strCache>
            </c:strRef>
          </c:cat>
          <c:val>
            <c:numRef>
              <c:f>Johnson_Gantt!$N$15</c:f>
              <c:numCache>
                <c:formatCode>General</c:formatCode>
                <c:ptCount val="1"/>
                <c:pt idx="0">
                  <c:v>10</c:v>
                </c:pt>
              </c:numCache>
            </c:numRef>
          </c:val>
          <c:extLst>
            <c:ext xmlns:c16="http://schemas.microsoft.com/office/drawing/2014/chart" uri="{C3380CC4-5D6E-409C-BE32-E72D297353CC}">
              <c16:uniqueId val="{00000000-AADC-8746-A4EE-495F4A5A753B}"/>
            </c:ext>
          </c:extLst>
        </c:ser>
        <c:ser>
          <c:idx val="1"/>
          <c:order val="1"/>
          <c:tx>
            <c:strRef>
              <c:f>Johnson_Gantt!$M$16</c:f>
              <c:strCache>
                <c:ptCount val="1"/>
                <c:pt idx="0">
                  <c:v>JS</c:v>
                </c:pt>
              </c:strCache>
            </c:strRef>
          </c:tx>
          <c:spPr>
            <a:solidFill>
              <a:srgbClr val="9E413E"/>
            </a:solidFill>
            <a:ln w="25400">
              <a:noFill/>
            </a:ln>
          </c:spPr>
          <c:invertIfNegative val="0"/>
          <c:cat>
            <c:strRef>
              <c:f>Johnson_Gantt!$N$14</c:f>
              <c:strCache>
                <c:ptCount val="1"/>
                <c:pt idx="0">
                  <c:v>#3</c:v>
                </c:pt>
              </c:strCache>
            </c:strRef>
          </c:cat>
          <c:val>
            <c:numRef>
              <c:f>Johnson_Gantt!$N$16</c:f>
              <c:numCache>
                <c:formatCode>General</c:formatCode>
                <c:ptCount val="1"/>
                <c:pt idx="0">
                  <c:v>21</c:v>
                </c:pt>
              </c:numCache>
            </c:numRef>
          </c:val>
          <c:extLst>
            <c:ext xmlns:c16="http://schemas.microsoft.com/office/drawing/2014/chart" uri="{C3380CC4-5D6E-409C-BE32-E72D297353CC}">
              <c16:uniqueId val="{00000001-AADC-8746-A4EE-495F4A5A753B}"/>
            </c:ext>
          </c:extLst>
        </c:ser>
        <c:ser>
          <c:idx val="2"/>
          <c:order val="2"/>
          <c:tx>
            <c:strRef>
              <c:f>Johnson_Gantt!$M$17</c:f>
              <c:strCache>
                <c:ptCount val="1"/>
                <c:pt idx="0">
                  <c:v>IDLE3A</c:v>
                </c:pt>
              </c:strCache>
            </c:strRef>
          </c:tx>
          <c:spPr>
            <a:solidFill>
              <a:srgbClr val="7F9A48"/>
            </a:solidFill>
            <a:ln w="25400">
              <a:noFill/>
            </a:ln>
          </c:spPr>
          <c:invertIfNegative val="0"/>
          <c:cat>
            <c:strRef>
              <c:f>Johnson_Gantt!$N$14</c:f>
              <c:strCache>
                <c:ptCount val="1"/>
                <c:pt idx="0">
                  <c:v>#3</c:v>
                </c:pt>
              </c:strCache>
            </c:strRef>
          </c:cat>
          <c:val>
            <c:numRef>
              <c:f>Johnson_Gantt!$N$17</c:f>
              <c:numCache>
                <c:formatCode>General</c:formatCode>
                <c:ptCount val="1"/>
                <c:pt idx="0">
                  <c:v>149</c:v>
                </c:pt>
              </c:numCache>
            </c:numRef>
          </c:val>
          <c:extLst>
            <c:ext xmlns:c16="http://schemas.microsoft.com/office/drawing/2014/chart" uri="{C3380CC4-5D6E-409C-BE32-E72D297353CC}">
              <c16:uniqueId val="{00000002-AADC-8746-A4EE-495F4A5A753B}"/>
            </c:ext>
          </c:extLst>
        </c:ser>
        <c:ser>
          <c:idx val="3"/>
          <c:order val="3"/>
          <c:tx>
            <c:strRef>
              <c:f>Johnson_Gantt!$M$18</c:f>
              <c:strCache>
                <c:ptCount val="1"/>
                <c:pt idx="0">
                  <c:v>FB</c:v>
                </c:pt>
              </c:strCache>
            </c:strRef>
          </c:tx>
          <c:spPr>
            <a:solidFill>
              <a:srgbClr val="695185"/>
            </a:solidFill>
            <a:ln w="25400">
              <a:noFill/>
            </a:ln>
          </c:spPr>
          <c:invertIfNegative val="0"/>
          <c:cat>
            <c:strRef>
              <c:f>Johnson_Gantt!$N$14</c:f>
              <c:strCache>
                <c:ptCount val="1"/>
                <c:pt idx="0">
                  <c:v>#3</c:v>
                </c:pt>
              </c:strCache>
            </c:strRef>
          </c:cat>
          <c:val>
            <c:numRef>
              <c:f>Johnson_Gantt!$N$18</c:f>
              <c:numCache>
                <c:formatCode>General</c:formatCode>
                <c:ptCount val="1"/>
                <c:pt idx="0">
                  <c:v>13</c:v>
                </c:pt>
              </c:numCache>
            </c:numRef>
          </c:val>
          <c:extLst>
            <c:ext xmlns:c16="http://schemas.microsoft.com/office/drawing/2014/chart" uri="{C3380CC4-5D6E-409C-BE32-E72D297353CC}">
              <c16:uniqueId val="{00000003-AADC-8746-A4EE-495F4A5A753B}"/>
            </c:ext>
          </c:extLst>
        </c:ser>
        <c:ser>
          <c:idx val="4"/>
          <c:order val="4"/>
          <c:tx>
            <c:strRef>
              <c:f>Johnson_Gantt!$M$19</c:f>
              <c:strCache>
                <c:ptCount val="1"/>
                <c:pt idx="0">
                  <c:v>IDLE3B</c:v>
                </c:pt>
              </c:strCache>
            </c:strRef>
          </c:tx>
          <c:spPr>
            <a:solidFill>
              <a:srgbClr val="3C8DA3"/>
            </a:solidFill>
            <a:ln w="25400">
              <a:noFill/>
            </a:ln>
          </c:spPr>
          <c:invertIfNegative val="0"/>
          <c:cat>
            <c:strRef>
              <c:f>Johnson_Gantt!$N$14</c:f>
              <c:strCache>
                <c:ptCount val="1"/>
                <c:pt idx="0">
                  <c:v>#3</c:v>
                </c:pt>
              </c:strCache>
            </c:strRef>
          </c:cat>
          <c:val>
            <c:numRef>
              <c:f>Johnson_Gantt!$N$19</c:f>
              <c:numCache>
                <c:formatCode>General</c:formatCode>
                <c:ptCount val="1"/>
                <c:pt idx="0">
                  <c:v>30</c:v>
                </c:pt>
              </c:numCache>
            </c:numRef>
          </c:val>
          <c:extLst>
            <c:ext xmlns:c16="http://schemas.microsoft.com/office/drawing/2014/chart" uri="{C3380CC4-5D6E-409C-BE32-E72D297353CC}">
              <c16:uniqueId val="{00000004-AADC-8746-A4EE-495F4A5A753B}"/>
            </c:ext>
          </c:extLst>
        </c:ser>
        <c:ser>
          <c:idx val="5"/>
          <c:order val="5"/>
          <c:tx>
            <c:strRef>
              <c:f>Johnson_Gantt!$M$20</c:f>
              <c:strCache>
                <c:ptCount val="1"/>
                <c:pt idx="0">
                  <c:v>NS</c:v>
                </c:pt>
              </c:strCache>
            </c:strRef>
          </c:tx>
          <c:spPr>
            <a:solidFill>
              <a:srgbClr val="CC7B38"/>
            </a:solidFill>
            <a:ln w="25400">
              <a:noFill/>
            </a:ln>
          </c:spPr>
          <c:invertIfNegative val="0"/>
          <c:cat>
            <c:strRef>
              <c:f>Johnson_Gantt!$N$14</c:f>
              <c:strCache>
                <c:ptCount val="1"/>
                <c:pt idx="0">
                  <c:v>#3</c:v>
                </c:pt>
              </c:strCache>
            </c:strRef>
          </c:cat>
          <c:val>
            <c:numRef>
              <c:f>Johnson_Gantt!$N$20</c:f>
              <c:numCache>
                <c:formatCode>General</c:formatCode>
                <c:ptCount val="1"/>
                <c:pt idx="0">
                  <c:v>28</c:v>
                </c:pt>
              </c:numCache>
            </c:numRef>
          </c:val>
          <c:extLst>
            <c:ext xmlns:c16="http://schemas.microsoft.com/office/drawing/2014/chart" uri="{C3380CC4-5D6E-409C-BE32-E72D297353CC}">
              <c16:uniqueId val="{00000005-AADC-8746-A4EE-495F4A5A753B}"/>
            </c:ext>
          </c:extLst>
        </c:ser>
        <c:ser>
          <c:idx val="6"/>
          <c:order val="6"/>
          <c:tx>
            <c:strRef>
              <c:f>Johnson_Gantt!$M$21</c:f>
              <c:strCache>
                <c:ptCount val="1"/>
                <c:pt idx="0">
                  <c:v>IDLE3C</c:v>
                </c:pt>
              </c:strCache>
            </c:strRef>
          </c:tx>
          <c:spPr>
            <a:solidFill>
              <a:srgbClr val="4F81BD"/>
            </a:solidFill>
            <a:ln w="25400">
              <a:noFill/>
            </a:ln>
          </c:spPr>
          <c:invertIfNegative val="0"/>
          <c:cat>
            <c:strRef>
              <c:f>Johnson_Gantt!$N$14</c:f>
              <c:strCache>
                <c:ptCount val="1"/>
                <c:pt idx="0">
                  <c:v>#3</c:v>
                </c:pt>
              </c:strCache>
            </c:strRef>
          </c:cat>
          <c:val>
            <c:numRef>
              <c:f>Johnson_Gantt!$N$21</c:f>
              <c:numCache>
                <c:formatCode>General</c:formatCode>
                <c:ptCount val="1"/>
                <c:pt idx="0">
                  <c:v>0</c:v>
                </c:pt>
              </c:numCache>
            </c:numRef>
          </c:val>
          <c:extLst>
            <c:ext xmlns:c16="http://schemas.microsoft.com/office/drawing/2014/chart" uri="{C3380CC4-5D6E-409C-BE32-E72D297353CC}">
              <c16:uniqueId val="{00000006-AADC-8746-A4EE-495F4A5A753B}"/>
            </c:ext>
          </c:extLst>
        </c:ser>
        <c:ser>
          <c:idx val="7"/>
          <c:order val="7"/>
          <c:tx>
            <c:strRef>
              <c:f>Johnson_Gantt!$M$22</c:f>
              <c:strCache>
                <c:ptCount val="1"/>
                <c:pt idx="0">
                  <c:v>S24</c:v>
                </c:pt>
              </c:strCache>
            </c:strRef>
          </c:tx>
          <c:spPr>
            <a:solidFill>
              <a:srgbClr val="C0504D"/>
            </a:solidFill>
            <a:ln w="25400">
              <a:noFill/>
            </a:ln>
          </c:spPr>
          <c:invertIfNegative val="0"/>
          <c:cat>
            <c:strRef>
              <c:f>Johnson_Gantt!$N$14</c:f>
              <c:strCache>
                <c:ptCount val="1"/>
                <c:pt idx="0">
                  <c:v>#3</c:v>
                </c:pt>
              </c:strCache>
            </c:strRef>
          </c:cat>
          <c:val>
            <c:numRef>
              <c:f>Johnson_Gantt!$N$22</c:f>
              <c:numCache>
                <c:formatCode>General</c:formatCode>
                <c:ptCount val="1"/>
                <c:pt idx="0">
                  <c:v>17</c:v>
                </c:pt>
              </c:numCache>
            </c:numRef>
          </c:val>
          <c:extLst>
            <c:ext xmlns:c16="http://schemas.microsoft.com/office/drawing/2014/chart" uri="{C3380CC4-5D6E-409C-BE32-E72D297353CC}">
              <c16:uniqueId val="{00000007-AADC-8746-A4EE-495F4A5A753B}"/>
            </c:ext>
          </c:extLst>
        </c:ser>
        <c:ser>
          <c:idx val="8"/>
          <c:order val="8"/>
          <c:tx>
            <c:strRef>
              <c:f>Johnson_Gantt!$M$23</c:f>
              <c:strCache>
                <c:ptCount val="1"/>
                <c:pt idx="0">
                  <c:v>IDLE3D</c:v>
                </c:pt>
              </c:strCache>
            </c:strRef>
          </c:tx>
          <c:spPr>
            <a:solidFill>
              <a:srgbClr val="9BBB59"/>
            </a:solidFill>
            <a:ln w="25400">
              <a:noFill/>
            </a:ln>
          </c:spPr>
          <c:invertIfNegative val="0"/>
          <c:cat>
            <c:strRef>
              <c:f>Johnson_Gantt!$N$14</c:f>
              <c:strCache>
                <c:ptCount val="1"/>
                <c:pt idx="0">
                  <c:v>#3</c:v>
                </c:pt>
              </c:strCache>
            </c:strRef>
          </c:cat>
          <c:val>
            <c:numRef>
              <c:f>Johnson_Gantt!$N$23</c:f>
              <c:numCache>
                <c:formatCode>General</c:formatCode>
                <c:ptCount val="1"/>
                <c:pt idx="0">
                  <c:v>0</c:v>
                </c:pt>
              </c:numCache>
            </c:numRef>
          </c:val>
          <c:extLst>
            <c:ext xmlns:c16="http://schemas.microsoft.com/office/drawing/2014/chart" uri="{C3380CC4-5D6E-409C-BE32-E72D297353CC}">
              <c16:uniqueId val="{00000008-AADC-8746-A4EE-495F4A5A753B}"/>
            </c:ext>
          </c:extLst>
        </c:ser>
        <c:ser>
          <c:idx val="9"/>
          <c:order val="9"/>
          <c:tx>
            <c:strRef>
              <c:f>Johnson_Gantt!$M$24</c:f>
              <c:strCache>
                <c:ptCount val="1"/>
                <c:pt idx="0">
                  <c:v>GS</c:v>
                </c:pt>
              </c:strCache>
            </c:strRef>
          </c:tx>
          <c:spPr>
            <a:solidFill>
              <a:srgbClr val="8064A2"/>
            </a:solidFill>
            <a:ln w="25400">
              <a:noFill/>
            </a:ln>
          </c:spPr>
          <c:invertIfNegative val="0"/>
          <c:cat>
            <c:strRef>
              <c:f>Johnson_Gantt!$N$14</c:f>
              <c:strCache>
                <c:ptCount val="1"/>
                <c:pt idx="0">
                  <c:v>#3</c:v>
                </c:pt>
              </c:strCache>
            </c:strRef>
          </c:cat>
          <c:val>
            <c:numRef>
              <c:f>Johnson_Gantt!$N$24</c:f>
              <c:numCache>
                <c:formatCode>General</c:formatCode>
                <c:ptCount val="1"/>
                <c:pt idx="0">
                  <c:v>18</c:v>
                </c:pt>
              </c:numCache>
            </c:numRef>
          </c:val>
          <c:extLst>
            <c:ext xmlns:c16="http://schemas.microsoft.com/office/drawing/2014/chart" uri="{C3380CC4-5D6E-409C-BE32-E72D297353CC}">
              <c16:uniqueId val="{00000009-AADC-8746-A4EE-495F4A5A753B}"/>
            </c:ext>
          </c:extLst>
        </c:ser>
        <c:ser>
          <c:idx val="10"/>
          <c:order val="10"/>
          <c:tx>
            <c:strRef>
              <c:f>Johnson_Gantt!$M$25</c:f>
              <c:strCache>
                <c:ptCount val="1"/>
                <c:pt idx="0">
                  <c:v>IDLE3E</c:v>
                </c:pt>
              </c:strCache>
            </c:strRef>
          </c:tx>
          <c:spPr>
            <a:solidFill>
              <a:srgbClr val="4BACC6"/>
            </a:solidFill>
            <a:ln w="25400">
              <a:noFill/>
            </a:ln>
          </c:spPr>
          <c:invertIfNegative val="0"/>
          <c:cat>
            <c:strRef>
              <c:f>Johnson_Gantt!$N$14</c:f>
              <c:strCache>
                <c:ptCount val="1"/>
                <c:pt idx="0">
                  <c:v>#3</c:v>
                </c:pt>
              </c:strCache>
            </c:strRef>
          </c:cat>
          <c:val>
            <c:numRef>
              <c:f>Johnson_Gantt!$N$25</c:f>
              <c:numCache>
                <c:formatCode>General</c:formatCode>
                <c:ptCount val="1"/>
                <c:pt idx="0">
                  <c:v>12</c:v>
                </c:pt>
              </c:numCache>
            </c:numRef>
          </c:val>
          <c:extLst>
            <c:ext xmlns:c16="http://schemas.microsoft.com/office/drawing/2014/chart" uri="{C3380CC4-5D6E-409C-BE32-E72D297353CC}">
              <c16:uniqueId val="{0000000A-AADC-8746-A4EE-495F4A5A753B}"/>
            </c:ext>
          </c:extLst>
        </c:ser>
        <c:ser>
          <c:idx val="11"/>
          <c:order val="11"/>
          <c:tx>
            <c:strRef>
              <c:f>Johnson_Gantt!$M$26</c:f>
              <c:strCache>
                <c:ptCount val="1"/>
                <c:pt idx="0">
                  <c:v>RR</c:v>
                </c:pt>
              </c:strCache>
            </c:strRef>
          </c:tx>
          <c:spPr>
            <a:solidFill>
              <a:srgbClr val="F79646"/>
            </a:solidFill>
            <a:ln w="25400">
              <a:noFill/>
            </a:ln>
          </c:spPr>
          <c:invertIfNegative val="0"/>
          <c:cat>
            <c:strRef>
              <c:f>Johnson_Gantt!$N$14</c:f>
              <c:strCache>
                <c:ptCount val="1"/>
                <c:pt idx="0">
                  <c:v>#3</c:v>
                </c:pt>
              </c:strCache>
            </c:strRef>
          </c:cat>
          <c:val>
            <c:numRef>
              <c:f>Johnson_Gantt!$N$26</c:f>
              <c:numCache>
                <c:formatCode>General</c:formatCode>
                <c:ptCount val="1"/>
                <c:pt idx="0">
                  <c:v>11</c:v>
                </c:pt>
              </c:numCache>
            </c:numRef>
          </c:val>
          <c:extLst>
            <c:ext xmlns:c16="http://schemas.microsoft.com/office/drawing/2014/chart" uri="{C3380CC4-5D6E-409C-BE32-E72D297353CC}">
              <c16:uniqueId val="{0000000B-AADC-8746-A4EE-495F4A5A753B}"/>
            </c:ext>
          </c:extLst>
        </c:ser>
        <c:ser>
          <c:idx val="12"/>
          <c:order val="12"/>
          <c:tx>
            <c:strRef>
              <c:f>Johnson_Gantt!$M$27</c:f>
              <c:strCache>
                <c:ptCount val="1"/>
                <c:pt idx="0">
                  <c:v>IDLE3F</c:v>
                </c:pt>
              </c:strCache>
            </c:strRef>
          </c:tx>
          <c:spPr>
            <a:solidFill>
              <a:srgbClr val="AABAD7"/>
            </a:solidFill>
            <a:ln w="25400">
              <a:noFill/>
            </a:ln>
          </c:spPr>
          <c:invertIfNegative val="0"/>
          <c:cat>
            <c:strRef>
              <c:f>Johnson_Gantt!$N$14</c:f>
              <c:strCache>
                <c:ptCount val="1"/>
                <c:pt idx="0">
                  <c:v>#3</c:v>
                </c:pt>
              </c:strCache>
            </c:strRef>
          </c:cat>
          <c:val>
            <c:numRef>
              <c:f>Johnson_Gantt!$N$27</c:f>
              <c:numCache>
                <c:formatCode>General</c:formatCode>
                <c:ptCount val="1"/>
                <c:pt idx="0">
                  <c:v>0</c:v>
                </c:pt>
              </c:numCache>
            </c:numRef>
          </c:val>
          <c:extLst>
            <c:ext xmlns:c16="http://schemas.microsoft.com/office/drawing/2014/chart" uri="{C3380CC4-5D6E-409C-BE32-E72D297353CC}">
              <c16:uniqueId val="{0000000C-AADC-8746-A4EE-495F4A5A753B}"/>
            </c:ext>
          </c:extLst>
        </c:ser>
        <c:ser>
          <c:idx val="13"/>
          <c:order val="13"/>
          <c:tx>
            <c:strRef>
              <c:f>Johnson_Gantt!$M$28</c:f>
              <c:strCache>
                <c:ptCount val="1"/>
                <c:pt idx="0">
                  <c:v>ED</c:v>
                </c:pt>
              </c:strCache>
            </c:strRef>
          </c:tx>
          <c:spPr>
            <a:solidFill>
              <a:srgbClr val="D9AAA9"/>
            </a:solidFill>
            <a:ln w="25400">
              <a:noFill/>
            </a:ln>
          </c:spPr>
          <c:invertIfNegative val="0"/>
          <c:cat>
            <c:strRef>
              <c:f>Johnson_Gantt!$N$14</c:f>
              <c:strCache>
                <c:ptCount val="1"/>
                <c:pt idx="0">
                  <c:v>#3</c:v>
                </c:pt>
              </c:strCache>
            </c:strRef>
          </c:cat>
          <c:val>
            <c:numRef>
              <c:f>Johnson_Gantt!$N$28</c:f>
              <c:numCache>
                <c:formatCode>General</c:formatCode>
                <c:ptCount val="1"/>
                <c:pt idx="0">
                  <c:v>7</c:v>
                </c:pt>
              </c:numCache>
            </c:numRef>
          </c:val>
          <c:extLst>
            <c:ext xmlns:c16="http://schemas.microsoft.com/office/drawing/2014/chart" uri="{C3380CC4-5D6E-409C-BE32-E72D297353CC}">
              <c16:uniqueId val="{0000000D-AADC-8746-A4EE-495F4A5A753B}"/>
            </c:ext>
          </c:extLst>
        </c:ser>
        <c:ser>
          <c:idx val="14"/>
          <c:order val="14"/>
          <c:tx>
            <c:strRef>
              <c:f>Johnson_Gantt!$M$29</c:f>
              <c:strCache>
                <c:ptCount val="1"/>
                <c:pt idx="0">
                  <c:v>IDLE3G</c:v>
                </c:pt>
              </c:strCache>
            </c:strRef>
          </c:tx>
          <c:spPr>
            <a:solidFill>
              <a:srgbClr val="C6D6AC"/>
            </a:solidFill>
            <a:ln w="25400">
              <a:noFill/>
            </a:ln>
          </c:spPr>
          <c:invertIfNegative val="0"/>
          <c:cat>
            <c:strRef>
              <c:f>Johnson_Gantt!$N$14</c:f>
              <c:strCache>
                <c:ptCount val="1"/>
                <c:pt idx="0">
                  <c:v>#3</c:v>
                </c:pt>
              </c:strCache>
            </c:strRef>
          </c:cat>
          <c:val>
            <c:numRef>
              <c:f>Johnson_Gantt!$N$29</c:f>
              <c:numCache>
                <c:formatCode>General</c:formatCode>
                <c:ptCount val="1"/>
                <c:pt idx="0">
                  <c:v>0</c:v>
                </c:pt>
              </c:numCache>
            </c:numRef>
          </c:val>
          <c:extLst>
            <c:ext xmlns:c16="http://schemas.microsoft.com/office/drawing/2014/chart" uri="{C3380CC4-5D6E-409C-BE32-E72D297353CC}">
              <c16:uniqueId val="{0000000E-AADC-8746-A4EE-495F4A5A753B}"/>
            </c:ext>
          </c:extLst>
        </c:ser>
        <c:ser>
          <c:idx val="15"/>
          <c:order val="15"/>
          <c:tx>
            <c:strRef>
              <c:f>Johnson_Gantt!$M$30</c:f>
              <c:strCache>
                <c:ptCount val="1"/>
                <c:pt idx="0">
                  <c:v>CD</c:v>
                </c:pt>
              </c:strCache>
            </c:strRef>
          </c:tx>
          <c:spPr>
            <a:solidFill>
              <a:srgbClr val="BAB0C9"/>
            </a:solidFill>
            <a:ln w="25400">
              <a:noFill/>
            </a:ln>
          </c:spPr>
          <c:invertIfNegative val="0"/>
          <c:cat>
            <c:strRef>
              <c:f>Johnson_Gantt!$N$14</c:f>
              <c:strCache>
                <c:ptCount val="1"/>
                <c:pt idx="0">
                  <c:v>#3</c:v>
                </c:pt>
              </c:strCache>
            </c:strRef>
          </c:cat>
          <c:val>
            <c:numRef>
              <c:f>Johnson_Gantt!$N$30</c:f>
              <c:numCache>
                <c:formatCode>General</c:formatCode>
                <c:ptCount val="1"/>
                <c:pt idx="0">
                  <c:v>6</c:v>
                </c:pt>
              </c:numCache>
            </c:numRef>
          </c:val>
          <c:extLst>
            <c:ext xmlns:c16="http://schemas.microsoft.com/office/drawing/2014/chart" uri="{C3380CC4-5D6E-409C-BE32-E72D297353CC}">
              <c16:uniqueId val="{0000000F-AADC-8746-A4EE-495F4A5A753B}"/>
            </c:ext>
          </c:extLst>
        </c:ser>
        <c:dLbls>
          <c:showLegendKey val="0"/>
          <c:showVal val="0"/>
          <c:showCatName val="0"/>
          <c:showSerName val="0"/>
          <c:showPercent val="0"/>
          <c:showBubbleSize val="0"/>
        </c:dLbls>
        <c:gapWidth val="150"/>
        <c:overlap val="100"/>
        <c:axId val="2099363232"/>
        <c:axId val="1"/>
      </c:barChart>
      <c:catAx>
        <c:axId val="2099363232"/>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099363232"/>
        <c:crosses val="autoZero"/>
        <c:crossBetween val="between"/>
        <c:majorUnit val="20"/>
      </c:valAx>
      <c:spPr>
        <a:solidFill>
          <a:srgbClr val="FFFFFF"/>
        </a:solidFill>
        <a:ln w="25400">
          <a:noFill/>
        </a:ln>
      </c:spPr>
    </c:plotArea>
    <c:legend>
      <c:legendPos val="r"/>
      <c:layout>
        <c:manualLayout>
          <c:xMode val="edge"/>
          <c:yMode val="edge"/>
          <c:x val="0.17924528301886791"/>
          <c:y val="0.80193312792422689"/>
          <c:w val="0.64016183118619607"/>
          <c:h val="0.16908250599109886"/>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355600</xdr:colOff>
      <xdr:row>2</xdr:row>
      <xdr:rowOff>114300</xdr:rowOff>
    </xdr:from>
    <xdr:to>
      <xdr:col>19</xdr:col>
      <xdr:colOff>749300</xdr:colOff>
      <xdr:row>9</xdr:row>
      <xdr:rowOff>101600</xdr:rowOff>
    </xdr:to>
    <xdr:graphicFrame macro="">
      <xdr:nvGraphicFramePr>
        <xdr:cNvPr id="3289" name="Chart 1">
          <a:extLst>
            <a:ext uri="{FF2B5EF4-FFF2-40B4-BE49-F238E27FC236}">
              <a16:creationId xmlns:a16="http://schemas.microsoft.com/office/drawing/2014/main" id="{87834963-3369-0E4E-AF21-9354A1D56F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355600</xdr:colOff>
      <xdr:row>9</xdr:row>
      <xdr:rowOff>114300</xdr:rowOff>
    </xdr:from>
    <xdr:to>
      <xdr:col>20</xdr:col>
      <xdr:colOff>0</xdr:colOff>
      <xdr:row>16</xdr:row>
      <xdr:rowOff>88900</xdr:rowOff>
    </xdr:to>
    <xdr:graphicFrame macro="">
      <xdr:nvGraphicFramePr>
        <xdr:cNvPr id="3290" name="Chart 3">
          <a:extLst>
            <a:ext uri="{FF2B5EF4-FFF2-40B4-BE49-F238E27FC236}">
              <a16:creationId xmlns:a16="http://schemas.microsoft.com/office/drawing/2014/main" id="{BD88CBC9-B0B3-FD4E-8763-BB4B5C1E1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355600</xdr:colOff>
      <xdr:row>15</xdr:row>
      <xdr:rowOff>114300</xdr:rowOff>
    </xdr:from>
    <xdr:to>
      <xdr:col>20</xdr:col>
      <xdr:colOff>0</xdr:colOff>
      <xdr:row>22</xdr:row>
      <xdr:rowOff>152400</xdr:rowOff>
    </xdr:to>
    <xdr:graphicFrame macro="">
      <xdr:nvGraphicFramePr>
        <xdr:cNvPr id="3291" name="Chart 4">
          <a:extLst>
            <a:ext uri="{FF2B5EF4-FFF2-40B4-BE49-F238E27FC236}">
              <a16:creationId xmlns:a16="http://schemas.microsoft.com/office/drawing/2014/main" id="{9BA77606-CD7D-E040-BFA8-90CC045F35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152400</xdr:rowOff>
    </xdr:from>
    <xdr:to>
      <xdr:col>12</xdr:col>
      <xdr:colOff>850900</xdr:colOff>
      <xdr:row>48</xdr:row>
      <xdr:rowOff>25400</xdr:rowOff>
    </xdr:to>
    <xdr:graphicFrame macro="">
      <xdr:nvGraphicFramePr>
        <xdr:cNvPr id="7379" name="Chart 4">
          <a:extLst>
            <a:ext uri="{FF2B5EF4-FFF2-40B4-BE49-F238E27FC236}">
              <a16:creationId xmlns:a16="http://schemas.microsoft.com/office/drawing/2014/main" id="{35BB33AE-6F86-9F46-AC62-D1835F6A4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48</xdr:row>
      <xdr:rowOff>38100</xdr:rowOff>
    </xdr:from>
    <xdr:to>
      <xdr:col>13</xdr:col>
      <xdr:colOff>12700</xdr:colOff>
      <xdr:row>65</xdr:row>
      <xdr:rowOff>88900</xdr:rowOff>
    </xdr:to>
    <xdr:graphicFrame macro="">
      <xdr:nvGraphicFramePr>
        <xdr:cNvPr id="7380" name="Chart 5">
          <a:extLst>
            <a:ext uri="{FF2B5EF4-FFF2-40B4-BE49-F238E27FC236}">
              <a16:creationId xmlns:a16="http://schemas.microsoft.com/office/drawing/2014/main" id="{3F701D50-48B9-BA4D-B9C0-44592ABBE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65</xdr:row>
      <xdr:rowOff>63500</xdr:rowOff>
    </xdr:from>
    <xdr:to>
      <xdr:col>13</xdr:col>
      <xdr:colOff>25400</xdr:colOff>
      <xdr:row>82</xdr:row>
      <xdr:rowOff>114300</xdr:rowOff>
    </xdr:to>
    <xdr:graphicFrame macro="">
      <xdr:nvGraphicFramePr>
        <xdr:cNvPr id="7381" name="Chart 6">
          <a:extLst>
            <a:ext uri="{FF2B5EF4-FFF2-40B4-BE49-F238E27FC236}">
              <a16:creationId xmlns:a16="http://schemas.microsoft.com/office/drawing/2014/main" id="{1929B603-D53B-C643-98DC-86545E7F6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743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ution1"/>
      <sheetName val="Solution2"/>
      <sheetName val="Sheet1"/>
      <sheetName val="Johnson's"/>
      <sheetName val="Johnson's2"/>
    </sheetNames>
    <sheetDataSet>
      <sheetData sheetId="0"/>
      <sheetData sheetId="1"/>
      <sheetData sheetId="2"/>
      <sheetData sheetId="3">
        <row r="25">
          <cell r="F25" t="str">
            <v>#1</v>
          </cell>
          <cell r="I25" t="str">
            <v>#2</v>
          </cell>
          <cell r="L25" t="str">
            <v>#3</v>
          </cell>
        </row>
        <row r="26">
          <cell r="E26" t="str">
            <v>A</v>
          </cell>
          <cell r="F26">
            <v>1</v>
          </cell>
          <cell r="H26" t="str">
            <v>IDLE1</v>
          </cell>
          <cell r="I26">
            <v>1</v>
          </cell>
          <cell r="K26" t="str">
            <v>IDLE1</v>
          </cell>
          <cell r="L26">
            <v>2</v>
          </cell>
        </row>
        <row r="27">
          <cell r="E27" t="str">
            <v>H</v>
          </cell>
          <cell r="F27">
            <v>2</v>
          </cell>
          <cell r="H27" t="str">
            <v>A</v>
          </cell>
          <cell r="I27">
            <v>1</v>
          </cell>
          <cell r="K27" t="str">
            <v>A</v>
          </cell>
          <cell r="L27">
            <v>7</v>
          </cell>
        </row>
        <row r="28">
          <cell r="E28" t="str">
            <v>F</v>
          </cell>
          <cell r="F28">
            <v>3</v>
          </cell>
          <cell r="H28" t="str">
            <v>IDLE2</v>
          </cell>
          <cell r="I28">
            <v>1</v>
          </cell>
          <cell r="K28" t="str">
            <v>H</v>
          </cell>
          <cell r="L28">
            <v>7</v>
          </cell>
        </row>
        <row r="29">
          <cell r="E29" t="str">
            <v>D</v>
          </cell>
          <cell r="F29">
            <v>5</v>
          </cell>
          <cell r="H29" t="str">
            <v>H</v>
          </cell>
          <cell r="I29">
            <v>1</v>
          </cell>
          <cell r="K29" t="str">
            <v>F</v>
          </cell>
          <cell r="L29">
            <v>8</v>
          </cell>
        </row>
        <row r="30">
          <cell r="E30" t="str">
            <v>B</v>
          </cell>
          <cell r="F30">
            <v>5</v>
          </cell>
          <cell r="H30" t="str">
            <v>IDLE3</v>
          </cell>
          <cell r="I30">
            <v>2</v>
          </cell>
          <cell r="K30" t="str">
            <v>D</v>
          </cell>
          <cell r="L30">
            <v>6</v>
          </cell>
        </row>
        <row r="31">
          <cell r="E31" t="str">
            <v>O</v>
          </cell>
          <cell r="F31">
            <v>17</v>
          </cell>
          <cell r="H31" t="str">
            <v>F</v>
          </cell>
          <cell r="I31">
            <v>1</v>
          </cell>
          <cell r="K31" t="str">
            <v>B</v>
          </cell>
          <cell r="L31">
            <v>23</v>
          </cell>
        </row>
        <row r="32">
          <cell r="E32" t="str">
            <v>K</v>
          </cell>
          <cell r="F32">
            <v>12</v>
          </cell>
          <cell r="H32" t="str">
            <v>IDLE4</v>
          </cell>
          <cell r="I32">
            <v>4</v>
          </cell>
          <cell r="K32" t="str">
            <v>IDLE2</v>
          </cell>
          <cell r="L32">
            <v>5</v>
          </cell>
        </row>
        <row r="33">
          <cell r="E33" t="str">
            <v>T</v>
          </cell>
          <cell r="F33">
            <v>27</v>
          </cell>
          <cell r="H33" t="str">
            <v>D</v>
          </cell>
          <cell r="I33">
            <v>2.5</v>
          </cell>
          <cell r="K33" t="str">
            <v>O</v>
          </cell>
          <cell r="L33">
            <v>10</v>
          </cell>
        </row>
        <row r="34">
          <cell r="E34" t="str">
            <v>IDLE1</v>
          </cell>
          <cell r="F34">
            <v>32</v>
          </cell>
          <cell r="H34" t="str">
            <v>IDLE5</v>
          </cell>
          <cell r="I34">
            <v>2.5</v>
          </cell>
          <cell r="K34" t="str">
            <v>K</v>
          </cell>
          <cell r="L34">
            <v>3</v>
          </cell>
        </row>
        <row r="35">
          <cell r="H35" t="str">
            <v>B</v>
          </cell>
          <cell r="I35">
            <v>2.5</v>
          </cell>
          <cell r="K35" t="str">
            <v>IDLE3</v>
          </cell>
          <cell r="L35">
            <v>31</v>
          </cell>
        </row>
        <row r="36">
          <cell r="H36" t="str">
            <v>IDLE6</v>
          </cell>
          <cell r="I36">
            <v>14.5</v>
          </cell>
          <cell r="K36" t="str">
            <v>T</v>
          </cell>
          <cell r="L36">
            <v>2</v>
          </cell>
        </row>
        <row r="37">
          <cell r="H37" t="str">
            <v>O</v>
          </cell>
          <cell r="I37">
            <v>25</v>
          </cell>
        </row>
        <row r="38">
          <cell r="H38" t="str">
            <v>K</v>
          </cell>
          <cell r="I38">
            <v>6</v>
          </cell>
        </row>
        <row r="39">
          <cell r="H39" t="str">
            <v>IDLE7</v>
          </cell>
          <cell r="I39">
            <v>8</v>
          </cell>
        </row>
        <row r="40">
          <cell r="H40" t="str">
            <v>T</v>
          </cell>
          <cell r="I40">
            <v>30</v>
          </cell>
        </row>
        <row r="41">
          <cell r="H41" t="str">
            <v>IDLE8</v>
          </cell>
          <cell r="I41">
            <v>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zoomScale="180" zoomScaleNormal="180" workbookViewId="0">
      <selection activeCell="C18" sqref="C18"/>
    </sheetView>
  </sheetViews>
  <sheetFormatPr baseColWidth="10" defaultRowHeight="13" x14ac:dyDescent="0.15"/>
  <sheetData>
    <row r="1" spans="1:8" ht="14" thickBot="1" x14ac:dyDescent="0.2">
      <c r="A1" t="s">
        <v>147</v>
      </c>
      <c r="B1" t="s">
        <v>148</v>
      </c>
      <c r="C1" t="s">
        <v>149</v>
      </c>
      <c r="D1" t="s">
        <v>150</v>
      </c>
      <c r="E1" t="s">
        <v>151</v>
      </c>
      <c r="F1" t="s">
        <v>152</v>
      </c>
      <c r="G1" t="s">
        <v>153</v>
      </c>
      <c r="H1" t="s">
        <v>154</v>
      </c>
    </row>
    <row r="2" spans="1:8" ht="14" thickBot="1" x14ac:dyDescent="0.2">
      <c r="A2" s="108">
        <v>2001</v>
      </c>
      <c r="B2" s="109">
        <v>6750</v>
      </c>
    </row>
    <row r="3" spans="1:8" ht="14" thickBot="1" x14ac:dyDescent="0.2">
      <c r="A3" s="110">
        <v>2002</v>
      </c>
      <c r="B3" s="111">
        <v>6300</v>
      </c>
      <c r="C3">
        <f>B2</f>
        <v>6750</v>
      </c>
      <c r="F3">
        <f>ABS(B3-C3)</f>
        <v>450</v>
      </c>
    </row>
    <row r="4" spans="1:8" ht="14" thickBot="1" x14ac:dyDescent="0.2">
      <c r="A4" s="110">
        <v>2003</v>
      </c>
      <c r="B4" s="111">
        <v>6850</v>
      </c>
      <c r="C4">
        <f t="shared" ref="C4:C15" si="0">B3</f>
        <v>6300</v>
      </c>
      <c r="F4">
        <f t="shared" ref="F4:F14" si="1">ABS(B4-C4)</f>
        <v>550</v>
      </c>
    </row>
    <row r="5" spans="1:8" ht="14" thickBot="1" x14ac:dyDescent="0.2">
      <c r="A5" s="110">
        <v>2004</v>
      </c>
      <c r="B5" s="111">
        <v>5175</v>
      </c>
      <c r="C5">
        <f t="shared" si="0"/>
        <v>6850</v>
      </c>
      <c r="D5">
        <f>AVERAGE(B2:B4)</f>
        <v>6633.333333333333</v>
      </c>
      <c r="F5">
        <f t="shared" si="1"/>
        <v>1675</v>
      </c>
      <c r="G5">
        <f>ABS(B5-D5)</f>
        <v>1458.333333333333</v>
      </c>
    </row>
    <row r="6" spans="1:8" ht="14" thickBot="1" x14ac:dyDescent="0.2">
      <c r="A6" s="110">
        <v>2005</v>
      </c>
      <c r="B6" s="111">
        <v>6650</v>
      </c>
      <c r="C6">
        <f t="shared" si="0"/>
        <v>5175</v>
      </c>
      <c r="D6">
        <f t="shared" ref="D6:D15" si="2">AVERAGE(B3:B5)</f>
        <v>6108.333333333333</v>
      </c>
      <c r="F6">
        <f t="shared" si="1"/>
        <v>1475</v>
      </c>
      <c r="G6">
        <f t="shared" ref="G6:G14" si="3">ABS(B6-D6)</f>
        <v>541.66666666666697</v>
      </c>
    </row>
    <row r="7" spans="1:8" ht="14" thickBot="1" x14ac:dyDescent="0.2">
      <c r="A7" s="110">
        <v>2006</v>
      </c>
      <c r="B7" s="111">
        <v>5400</v>
      </c>
      <c r="C7">
        <f t="shared" si="0"/>
        <v>6650</v>
      </c>
      <c r="D7">
        <f t="shared" si="2"/>
        <v>6225</v>
      </c>
      <c r="E7">
        <f>AVERAGE(B2:B6)</f>
        <v>6345</v>
      </c>
      <c r="F7">
        <f t="shared" si="1"/>
        <v>1250</v>
      </c>
      <c r="G7">
        <f t="shared" si="3"/>
        <v>825</v>
      </c>
      <c r="H7">
        <f>ABS(B7-E7)</f>
        <v>945</v>
      </c>
    </row>
    <row r="8" spans="1:8" ht="14" thickBot="1" x14ac:dyDescent="0.2">
      <c r="A8" s="110">
        <v>2007</v>
      </c>
      <c r="B8" s="111">
        <v>6065</v>
      </c>
      <c r="C8">
        <f t="shared" si="0"/>
        <v>5400</v>
      </c>
      <c r="D8">
        <f t="shared" si="2"/>
        <v>5741.666666666667</v>
      </c>
      <c r="E8">
        <f t="shared" ref="E8:E15" si="4">AVERAGE(B3:B7)</f>
        <v>6075</v>
      </c>
      <c r="F8">
        <f t="shared" si="1"/>
        <v>665</v>
      </c>
      <c r="G8">
        <f t="shared" si="3"/>
        <v>323.33333333333303</v>
      </c>
      <c r="H8">
        <f t="shared" ref="H8:H14" si="5">ABS(B8-E8)</f>
        <v>10</v>
      </c>
    </row>
    <row r="9" spans="1:8" ht="14" thickBot="1" x14ac:dyDescent="0.2">
      <c r="A9" s="109">
        <v>2008</v>
      </c>
      <c r="B9" s="109">
        <v>6300</v>
      </c>
      <c r="C9">
        <f t="shared" si="0"/>
        <v>6065</v>
      </c>
      <c r="D9">
        <f t="shared" si="2"/>
        <v>6038.333333333333</v>
      </c>
      <c r="E9">
        <f t="shared" si="4"/>
        <v>6028</v>
      </c>
      <c r="F9">
        <f t="shared" si="1"/>
        <v>235</v>
      </c>
      <c r="G9">
        <f t="shared" si="3"/>
        <v>261.66666666666697</v>
      </c>
      <c r="H9">
        <f t="shared" si="5"/>
        <v>272</v>
      </c>
    </row>
    <row r="10" spans="1:8" ht="14" thickBot="1" x14ac:dyDescent="0.2">
      <c r="A10" s="111">
        <v>2009</v>
      </c>
      <c r="B10" s="111">
        <v>5900</v>
      </c>
      <c r="C10">
        <f t="shared" si="0"/>
        <v>6300</v>
      </c>
      <c r="D10">
        <f t="shared" si="2"/>
        <v>5921.666666666667</v>
      </c>
      <c r="E10">
        <f t="shared" si="4"/>
        <v>5918</v>
      </c>
      <c r="F10">
        <f t="shared" si="1"/>
        <v>400</v>
      </c>
      <c r="G10">
        <f t="shared" si="3"/>
        <v>21.66666666666697</v>
      </c>
      <c r="H10">
        <f t="shared" si="5"/>
        <v>18</v>
      </c>
    </row>
    <row r="11" spans="1:8" ht="14" thickBot="1" x14ac:dyDescent="0.2">
      <c r="A11" s="111">
        <v>2010</v>
      </c>
      <c r="B11" s="111">
        <v>5000</v>
      </c>
      <c r="C11">
        <f t="shared" si="0"/>
        <v>5900</v>
      </c>
      <c r="D11">
        <f t="shared" si="2"/>
        <v>6088.333333333333</v>
      </c>
      <c r="E11">
        <f t="shared" si="4"/>
        <v>6063</v>
      </c>
      <c r="F11">
        <f t="shared" si="1"/>
        <v>900</v>
      </c>
      <c r="G11">
        <f t="shared" si="3"/>
        <v>1088.333333333333</v>
      </c>
      <c r="H11">
        <f t="shared" si="5"/>
        <v>1063</v>
      </c>
    </row>
    <row r="12" spans="1:8" ht="14" thickBot="1" x14ac:dyDescent="0.2">
      <c r="A12" s="111">
        <v>2011</v>
      </c>
      <c r="B12" s="111">
        <v>6300</v>
      </c>
      <c r="C12">
        <f t="shared" si="0"/>
        <v>5000</v>
      </c>
      <c r="D12">
        <f t="shared" si="2"/>
        <v>5733.333333333333</v>
      </c>
      <c r="E12">
        <f t="shared" si="4"/>
        <v>5733</v>
      </c>
      <c r="F12">
        <f t="shared" si="1"/>
        <v>1300</v>
      </c>
      <c r="G12">
        <f t="shared" si="3"/>
        <v>566.66666666666697</v>
      </c>
      <c r="H12">
        <f t="shared" si="5"/>
        <v>567</v>
      </c>
    </row>
    <row r="13" spans="1:8" ht="14" thickBot="1" x14ac:dyDescent="0.2">
      <c r="A13" s="111">
        <v>2012</v>
      </c>
      <c r="B13" s="111">
        <v>6000</v>
      </c>
      <c r="C13">
        <f t="shared" si="0"/>
        <v>6300</v>
      </c>
      <c r="D13">
        <f t="shared" si="2"/>
        <v>5733.333333333333</v>
      </c>
      <c r="E13">
        <f t="shared" si="4"/>
        <v>5913</v>
      </c>
      <c r="F13">
        <f t="shared" si="1"/>
        <v>300</v>
      </c>
      <c r="G13">
        <f t="shared" si="3"/>
        <v>266.66666666666697</v>
      </c>
      <c r="H13">
        <f t="shared" si="5"/>
        <v>87</v>
      </c>
    </row>
    <row r="14" spans="1:8" ht="14" thickBot="1" x14ac:dyDescent="0.2">
      <c r="A14" s="111">
        <v>2013</v>
      </c>
      <c r="B14" s="111">
        <v>6800</v>
      </c>
      <c r="C14">
        <f t="shared" si="0"/>
        <v>6000</v>
      </c>
      <c r="D14">
        <f t="shared" si="2"/>
        <v>5766.666666666667</v>
      </c>
      <c r="E14">
        <f t="shared" si="4"/>
        <v>5900</v>
      </c>
      <c r="F14">
        <f t="shared" si="1"/>
        <v>800</v>
      </c>
      <c r="G14">
        <f t="shared" si="3"/>
        <v>1033.333333333333</v>
      </c>
      <c r="H14">
        <f t="shared" si="5"/>
        <v>900</v>
      </c>
    </row>
    <row r="15" spans="1:8" ht="15" thickBot="1" x14ac:dyDescent="0.2">
      <c r="A15" s="111">
        <v>2014</v>
      </c>
      <c r="B15" s="111" t="s">
        <v>146</v>
      </c>
      <c r="C15">
        <f t="shared" si="0"/>
        <v>6800</v>
      </c>
      <c r="D15">
        <f t="shared" si="2"/>
        <v>6366.666666666667</v>
      </c>
      <c r="E15" s="116">
        <f t="shared" si="4"/>
        <v>6000</v>
      </c>
    </row>
    <row r="17" spans="5:8" x14ac:dyDescent="0.15">
      <c r="E17" t="s">
        <v>155</v>
      </c>
      <c r="F17">
        <f>AVERAGE(F3:F14)</f>
        <v>833.33333333333337</v>
      </c>
      <c r="G17">
        <f>AVERAGE(G5:G14)</f>
        <v>638.66666666666674</v>
      </c>
      <c r="H17" s="116">
        <f>AVERAGE(H7:H14)</f>
        <v>482.75</v>
      </c>
    </row>
    <row r="18" spans="5:8" x14ac:dyDescent="0.15">
      <c r="H18" s="116"/>
    </row>
    <row r="19" spans="5:8" x14ac:dyDescent="0.15">
      <c r="H19" s="116" t="s">
        <v>162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0"/>
  <sheetViews>
    <sheetView topLeftCell="A24" zoomScale="160" zoomScaleNormal="160" workbookViewId="0">
      <selection activeCell="A44" sqref="A44"/>
    </sheetView>
  </sheetViews>
  <sheetFormatPr baseColWidth="10" defaultColWidth="12" defaultRowHeight="13" x14ac:dyDescent="0.15"/>
  <cols>
    <col min="1" max="8" width="12" customWidth="1"/>
    <col min="9" max="9" width="10.3984375" bestFit="1" customWidth="1"/>
    <col min="10" max="10" width="13.796875" bestFit="1" customWidth="1"/>
  </cols>
  <sheetData>
    <row r="1" spans="1:10" x14ac:dyDescent="0.15">
      <c r="A1" s="101" t="s">
        <v>44</v>
      </c>
    </row>
    <row r="3" spans="1:10" ht="14" thickBot="1" x14ac:dyDescent="0.2">
      <c r="A3" s="1"/>
      <c r="B3" s="1"/>
      <c r="C3" s="1"/>
      <c r="D3" s="113" t="s">
        <v>159</v>
      </c>
      <c r="E3" s="1"/>
      <c r="F3" s="1"/>
      <c r="G3" s="1"/>
      <c r="H3" s="1"/>
      <c r="I3" s="1"/>
      <c r="J3" s="1"/>
    </row>
    <row r="4" spans="1:10" x14ac:dyDescent="0.15">
      <c r="A4" s="1"/>
      <c r="B4" s="1"/>
      <c r="C4" s="1"/>
      <c r="D4" s="112" t="s">
        <v>170</v>
      </c>
      <c r="E4" s="13" t="s">
        <v>48</v>
      </c>
      <c r="F4" s="14">
        <f>Forecast!E15*1/6</f>
        <v>1000</v>
      </c>
      <c r="G4" s="1"/>
      <c r="H4" s="1"/>
      <c r="I4" s="1"/>
      <c r="J4" s="1"/>
    </row>
    <row r="5" spans="1:10" x14ac:dyDescent="0.15">
      <c r="A5" s="1"/>
      <c r="B5" s="1"/>
      <c r="C5" s="1"/>
      <c r="D5" s="112" t="s">
        <v>156</v>
      </c>
      <c r="E5" s="15" t="s">
        <v>49</v>
      </c>
      <c r="F5" s="16">
        <f>4/15*Forecast!E15</f>
        <v>1600</v>
      </c>
      <c r="G5" s="1"/>
      <c r="H5" s="1"/>
      <c r="I5" s="1"/>
      <c r="J5" s="1"/>
    </row>
    <row r="6" spans="1:10" x14ac:dyDescent="0.15">
      <c r="A6" s="1"/>
      <c r="B6" s="1"/>
      <c r="C6" s="1"/>
      <c r="D6" s="112" t="s">
        <v>157</v>
      </c>
      <c r="E6" s="15" t="s">
        <v>50</v>
      </c>
      <c r="F6" s="16">
        <f>7/30*Forecast!E15</f>
        <v>1400</v>
      </c>
      <c r="G6" s="1"/>
      <c r="H6" s="1"/>
      <c r="I6" s="1"/>
      <c r="J6" s="1"/>
    </row>
    <row r="7" spans="1:10" x14ac:dyDescent="0.15">
      <c r="A7" s="1"/>
      <c r="B7" s="1"/>
      <c r="C7" s="1"/>
      <c r="D7" s="112" t="s">
        <v>158</v>
      </c>
      <c r="E7" s="15" t="s">
        <v>51</v>
      </c>
      <c r="F7" s="16">
        <f>1/3*Forecast!E15</f>
        <v>2000</v>
      </c>
      <c r="G7" s="1"/>
      <c r="H7" s="1"/>
      <c r="I7" s="1"/>
      <c r="J7" s="1"/>
    </row>
    <row r="8" spans="1:10" ht="14" thickBot="1" x14ac:dyDescent="0.2">
      <c r="A8" s="1"/>
      <c r="B8" s="1"/>
      <c r="C8" s="1"/>
      <c r="D8" s="1"/>
      <c r="E8" s="17"/>
      <c r="F8" s="18">
        <f>AVERAGE(F4:F7)</f>
        <v>1500</v>
      </c>
      <c r="G8" s="1">
        <f>SUM(F4:F7)</f>
        <v>6000</v>
      </c>
      <c r="H8" s="1">
        <f>G8/25</f>
        <v>240</v>
      </c>
      <c r="I8" s="1"/>
      <c r="J8" s="1"/>
    </row>
    <row r="9" spans="1:10" ht="14" thickBot="1" x14ac:dyDescent="0.2">
      <c r="A9" s="1"/>
      <c r="B9" s="1"/>
      <c r="C9" s="1"/>
      <c r="D9" s="1"/>
      <c r="E9" s="26"/>
      <c r="F9" s="26"/>
      <c r="G9" s="1"/>
      <c r="H9" s="1"/>
      <c r="I9" s="1"/>
      <c r="J9" s="1"/>
    </row>
    <row r="10" spans="1:10" x14ac:dyDescent="0.15">
      <c r="A10" s="3"/>
      <c r="B10" s="4"/>
      <c r="C10" s="4"/>
      <c r="D10" s="24" t="s">
        <v>66</v>
      </c>
      <c r="E10" s="4"/>
      <c r="F10" s="4"/>
      <c r="G10" s="4"/>
      <c r="H10" s="4"/>
      <c r="I10" s="4"/>
      <c r="J10" s="5"/>
    </row>
    <row r="11" spans="1:10" x14ac:dyDescent="0.15">
      <c r="A11" s="6"/>
      <c r="B11" s="7"/>
      <c r="C11" s="7"/>
      <c r="D11" s="25">
        <v>100</v>
      </c>
      <c r="E11" s="7"/>
      <c r="F11" s="22" t="s">
        <v>64</v>
      </c>
      <c r="G11" s="22" t="s">
        <v>65</v>
      </c>
      <c r="H11" s="7"/>
      <c r="I11" s="7"/>
      <c r="J11" s="8"/>
    </row>
    <row r="12" spans="1:10" x14ac:dyDescent="0.15">
      <c r="A12" s="27" t="s">
        <v>57</v>
      </c>
      <c r="B12" s="7" t="s">
        <v>58</v>
      </c>
      <c r="C12" s="7">
        <v>5</v>
      </c>
      <c r="D12" s="7"/>
      <c r="E12" s="7"/>
      <c r="F12" s="23">
        <v>500</v>
      </c>
      <c r="G12" s="23">
        <v>700</v>
      </c>
      <c r="H12" s="7"/>
      <c r="I12" s="20" t="s">
        <v>60</v>
      </c>
      <c r="J12" s="21">
        <v>5</v>
      </c>
    </row>
    <row r="13" spans="1:10" x14ac:dyDescent="0.15">
      <c r="A13" s="6"/>
      <c r="B13" s="19" t="s">
        <v>52</v>
      </c>
      <c r="C13" s="19" t="s">
        <v>53</v>
      </c>
      <c r="D13" s="19" t="s">
        <v>56</v>
      </c>
      <c r="E13" s="19" t="s">
        <v>56</v>
      </c>
      <c r="F13" s="19" t="s">
        <v>54</v>
      </c>
      <c r="G13" s="19" t="s">
        <v>55</v>
      </c>
      <c r="H13" s="19" t="s">
        <v>59</v>
      </c>
      <c r="I13" s="19" t="s">
        <v>62</v>
      </c>
      <c r="J13" s="28" t="s">
        <v>63</v>
      </c>
    </row>
    <row r="14" spans="1:10" x14ac:dyDescent="0.15">
      <c r="A14" s="6" t="s">
        <v>48</v>
      </c>
      <c r="B14" s="19">
        <f>F4</f>
        <v>1000</v>
      </c>
      <c r="C14" s="19">
        <f>$F$8</f>
        <v>1500</v>
      </c>
      <c r="D14" s="19">
        <f>(C14/D$11)</f>
        <v>15</v>
      </c>
      <c r="E14" s="19">
        <f>CEILING(D14,1)</f>
        <v>15</v>
      </c>
      <c r="F14" s="19">
        <f>IF(C12&gt;=E14,0,E14-C12)</f>
        <v>10</v>
      </c>
      <c r="G14" s="19">
        <f>IF(C12&gt;=E14,C12-E14,0)</f>
        <v>0</v>
      </c>
      <c r="H14" s="19">
        <f>(C12+F14-G14)</f>
        <v>15</v>
      </c>
      <c r="I14" s="19">
        <f>(H14*D11-B14)</f>
        <v>500</v>
      </c>
      <c r="J14" s="9">
        <f>I14*J$12</f>
        <v>2500</v>
      </c>
    </row>
    <row r="15" spans="1:10" x14ac:dyDescent="0.15">
      <c r="A15" s="6" t="s">
        <v>49</v>
      </c>
      <c r="B15" s="19">
        <f>F5</f>
        <v>1600</v>
      </c>
      <c r="C15" s="19">
        <f>$F$8</f>
        <v>1500</v>
      </c>
      <c r="D15" s="19">
        <f>(C15/D$11)</f>
        <v>15</v>
      </c>
      <c r="E15" s="19">
        <f>CEILING(D15,1)</f>
        <v>15</v>
      </c>
      <c r="F15" s="19">
        <f>IF(H14&gt;=E15,0,E15-H14)</f>
        <v>0</v>
      </c>
      <c r="G15" s="19">
        <f>IF(H14&gt;=E15,H14-E15,0)</f>
        <v>0</v>
      </c>
      <c r="H15" s="19">
        <f>(H14+F15-G15)</f>
        <v>15</v>
      </c>
      <c r="I15" s="19">
        <f>(I14+H15*D$11-B15)</f>
        <v>400</v>
      </c>
      <c r="J15" s="9">
        <f>I15*J$12</f>
        <v>2000</v>
      </c>
    </row>
    <row r="16" spans="1:10" x14ac:dyDescent="0.15">
      <c r="A16" s="6" t="s">
        <v>50</v>
      </c>
      <c r="B16" s="19">
        <f>F6</f>
        <v>1400</v>
      </c>
      <c r="C16" s="19">
        <f>$F$8</f>
        <v>1500</v>
      </c>
      <c r="D16" s="19">
        <f>(C16/D$11)</f>
        <v>15</v>
      </c>
      <c r="E16" s="19">
        <f>CEILING(D16,1)</f>
        <v>15</v>
      </c>
      <c r="F16" s="19">
        <f>IF(H15&gt;=E16,0,E16-H15)</f>
        <v>0</v>
      </c>
      <c r="G16" s="19">
        <f>IF(H15&gt;=E16,H15-E16,0)</f>
        <v>0</v>
      </c>
      <c r="H16" s="19">
        <f>(H15+F16-G16)</f>
        <v>15</v>
      </c>
      <c r="I16" s="19">
        <f>(I15+H16*D$11-B16)</f>
        <v>500</v>
      </c>
      <c r="J16" s="9">
        <f>I16*J$12</f>
        <v>2500</v>
      </c>
    </row>
    <row r="17" spans="1:12" x14ac:dyDescent="0.15">
      <c r="A17" s="6" t="s">
        <v>51</v>
      </c>
      <c r="B17" s="19">
        <f>F7</f>
        <v>2000</v>
      </c>
      <c r="C17" s="19">
        <f>$F$8</f>
        <v>1500</v>
      </c>
      <c r="D17" s="19">
        <f>(C17/D$11)</f>
        <v>15</v>
      </c>
      <c r="E17" s="19">
        <f>CEILING(D17,1)</f>
        <v>15</v>
      </c>
      <c r="F17" s="19">
        <f>IF(H16&gt;=E17,0,E17-H16)</f>
        <v>0</v>
      </c>
      <c r="G17" s="19">
        <f>IF(H16&gt;=E17,H16-E17,0)</f>
        <v>0</v>
      </c>
      <c r="H17" s="19">
        <f>(H16+F17-G17)</f>
        <v>15</v>
      </c>
      <c r="I17" s="19">
        <f>(I16+H17*D$11-B17)</f>
        <v>0</v>
      </c>
      <c r="J17" s="9">
        <f>I17*J$12</f>
        <v>0</v>
      </c>
    </row>
    <row r="18" spans="1:12" ht="14" thickBot="1" x14ac:dyDescent="0.2">
      <c r="A18" s="10"/>
      <c r="B18" s="42">
        <f>SUM(B14:B17)</f>
        <v>6000</v>
      </c>
      <c r="C18" s="42">
        <f>SUM(C14:C17)</f>
        <v>6000</v>
      </c>
      <c r="D18" s="42"/>
      <c r="E18" s="42"/>
      <c r="F18" s="41">
        <f>SUM(F14:F17)*F12</f>
        <v>5000</v>
      </c>
      <c r="G18" s="41">
        <f>SUM(G14:G17)*G12</f>
        <v>0</v>
      </c>
      <c r="H18" s="11"/>
      <c r="I18" s="11" t="s">
        <v>61</v>
      </c>
      <c r="J18" s="12">
        <f>F18+G18+SUM(J14:J17)</f>
        <v>12000</v>
      </c>
      <c r="K18" s="2"/>
      <c r="L18" s="1"/>
    </row>
    <row r="20" spans="1:12" x14ac:dyDescent="0.15">
      <c r="A20" s="1"/>
      <c r="B20" s="1"/>
      <c r="C20" s="1"/>
      <c r="D20" s="1"/>
      <c r="E20" s="1"/>
      <c r="F20" s="1"/>
      <c r="G20" s="1"/>
      <c r="H20" s="1"/>
      <c r="I20" s="1"/>
      <c r="J20" s="1"/>
    </row>
    <row r="21" spans="1:12" ht="14" thickBot="1" x14ac:dyDescent="0.2">
      <c r="A21" s="1"/>
      <c r="B21" s="1"/>
      <c r="C21" s="1"/>
      <c r="D21" s="1"/>
      <c r="E21" s="1"/>
      <c r="F21" s="1"/>
      <c r="G21" s="1"/>
      <c r="H21" s="1"/>
      <c r="I21" s="1"/>
      <c r="J21" s="1"/>
    </row>
    <row r="22" spans="1:12" x14ac:dyDescent="0.15">
      <c r="A22" s="3"/>
      <c r="B22" s="4"/>
      <c r="C22" s="4"/>
      <c r="D22" s="24" t="s">
        <v>66</v>
      </c>
      <c r="E22" s="4"/>
      <c r="F22" s="4"/>
      <c r="G22" s="4"/>
      <c r="H22" s="4"/>
      <c r="I22" s="4"/>
      <c r="J22" s="5"/>
    </row>
    <row r="23" spans="1:12" x14ac:dyDescent="0.15">
      <c r="A23" s="6"/>
      <c r="B23" s="7"/>
      <c r="C23" s="7"/>
      <c r="D23" s="25">
        <f>D11</f>
        <v>100</v>
      </c>
      <c r="E23" s="7"/>
      <c r="F23" s="22" t="s">
        <v>64</v>
      </c>
      <c r="G23" s="22" t="s">
        <v>65</v>
      </c>
      <c r="H23" s="7"/>
      <c r="I23" s="7"/>
      <c r="J23" s="8"/>
    </row>
    <row r="24" spans="1:12" x14ac:dyDescent="0.15">
      <c r="A24" s="27" t="s">
        <v>67</v>
      </c>
      <c r="B24" s="7" t="s">
        <v>58</v>
      </c>
      <c r="C24" s="7">
        <f>C12</f>
        <v>5</v>
      </c>
      <c r="D24" s="7"/>
      <c r="E24" s="7"/>
      <c r="F24" s="23">
        <f>F12</f>
        <v>500</v>
      </c>
      <c r="G24" s="23">
        <f>G12</f>
        <v>700</v>
      </c>
      <c r="H24" s="7"/>
      <c r="I24" s="20" t="s">
        <v>60</v>
      </c>
      <c r="J24" s="21">
        <f>J12</f>
        <v>5</v>
      </c>
    </row>
    <row r="25" spans="1:12" x14ac:dyDescent="0.15">
      <c r="A25" s="6"/>
      <c r="B25" s="19" t="s">
        <v>52</v>
      </c>
      <c r="C25" s="19" t="s">
        <v>53</v>
      </c>
      <c r="D25" s="19" t="s">
        <v>56</v>
      </c>
      <c r="E25" s="19" t="s">
        <v>56</v>
      </c>
      <c r="F25" s="19" t="s">
        <v>54</v>
      </c>
      <c r="G25" s="19" t="s">
        <v>55</v>
      </c>
      <c r="H25" s="19" t="s">
        <v>59</v>
      </c>
      <c r="I25" s="19" t="s">
        <v>62</v>
      </c>
      <c r="J25" s="28" t="s">
        <v>63</v>
      </c>
    </row>
    <row r="26" spans="1:12" x14ac:dyDescent="0.15">
      <c r="A26" s="6" t="s">
        <v>48</v>
      </c>
      <c r="B26" s="19">
        <f>F$4</f>
        <v>1000</v>
      </c>
      <c r="C26" s="19">
        <f>B26</f>
        <v>1000</v>
      </c>
      <c r="D26" s="30">
        <f>(C26/D$11)</f>
        <v>10</v>
      </c>
      <c r="E26" s="19">
        <f>CEILING(D26,1)</f>
        <v>10</v>
      </c>
      <c r="F26" s="19">
        <f>IF(C24&gt;=E26,0,E26-C24)</f>
        <v>5</v>
      </c>
      <c r="G26" s="19">
        <f>IF(C24&gt;=E26,C24-E26,0)</f>
        <v>0</v>
      </c>
      <c r="H26" s="19">
        <f>(C24+F26-G26)</f>
        <v>10</v>
      </c>
      <c r="I26" s="19">
        <f>(H26*D23-B26)</f>
        <v>0</v>
      </c>
      <c r="J26" s="9">
        <f>I26*J$12</f>
        <v>0</v>
      </c>
    </row>
    <row r="27" spans="1:12" x14ac:dyDescent="0.15">
      <c r="A27" s="6" t="s">
        <v>49</v>
      </c>
      <c r="B27" s="19">
        <f>F$5</f>
        <v>1600</v>
      </c>
      <c r="C27" s="19">
        <f>B27</f>
        <v>1600</v>
      </c>
      <c r="D27" s="30">
        <f>(C27/D$11)</f>
        <v>16</v>
      </c>
      <c r="E27" s="19">
        <f>CEILING(D27,1)</f>
        <v>16</v>
      </c>
      <c r="F27" s="19">
        <f>IF(H26&gt;=E27,0,E27-H26)</f>
        <v>6</v>
      </c>
      <c r="G27" s="19">
        <f>IF(H26&gt;=E27,H26-E27,0)</f>
        <v>0</v>
      </c>
      <c r="H27" s="19">
        <f>(H26+F27-G27)</f>
        <v>16</v>
      </c>
      <c r="I27" s="19">
        <f>(I26+H27*D$11-B27)</f>
        <v>0</v>
      </c>
      <c r="J27" s="9">
        <f>I27*J$12</f>
        <v>0</v>
      </c>
    </row>
    <row r="28" spans="1:12" x14ac:dyDescent="0.15">
      <c r="A28" s="6" t="s">
        <v>50</v>
      </c>
      <c r="B28" s="19">
        <f>F$6</f>
        <v>1400</v>
      </c>
      <c r="C28" s="19">
        <f>B28</f>
        <v>1400</v>
      </c>
      <c r="D28" s="30">
        <f>(C28/D$11)</f>
        <v>14</v>
      </c>
      <c r="E28" s="19">
        <f>CEILING(D28,1)</f>
        <v>14</v>
      </c>
      <c r="F28" s="19">
        <f>IF(H27&gt;=E28,0,E28-H27)</f>
        <v>0</v>
      </c>
      <c r="G28" s="19">
        <f>IF(H27&gt;=E28,H27-E28,0)</f>
        <v>2</v>
      </c>
      <c r="H28" s="19">
        <f>(H27+F28-G28)</f>
        <v>14</v>
      </c>
      <c r="I28" s="19">
        <f>(I27+H28*D$11-B28)</f>
        <v>0</v>
      </c>
      <c r="J28" s="9">
        <f>I28*J$12</f>
        <v>0</v>
      </c>
    </row>
    <row r="29" spans="1:12" x14ac:dyDescent="0.15">
      <c r="A29" s="6" t="s">
        <v>51</v>
      </c>
      <c r="B29" s="19">
        <f>F$7</f>
        <v>2000</v>
      </c>
      <c r="C29" s="29">
        <f>B29</f>
        <v>2000</v>
      </c>
      <c r="D29" s="30">
        <f>(C29/D$11)</f>
        <v>20</v>
      </c>
      <c r="E29" s="19">
        <f>CEILING(D29,1)</f>
        <v>20</v>
      </c>
      <c r="F29" s="19">
        <f>IF(H28&gt;=E29,0,E29-H28)</f>
        <v>6</v>
      </c>
      <c r="G29" s="19">
        <f>IF(H28&gt;=E29,H28-E29,0)</f>
        <v>0</v>
      </c>
      <c r="H29" s="19">
        <f>(H28+F29-G29)</f>
        <v>20</v>
      </c>
      <c r="I29" s="19">
        <f>(I28+H29*D$11-B29)</f>
        <v>0</v>
      </c>
      <c r="J29" s="9">
        <f>I29*J$12</f>
        <v>0</v>
      </c>
    </row>
    <row r="30" spans="1:12" ht="14" thickBot="1" x14ac:dyDescent="0.2">
      <c r="A30" s="10"/>
      <c r="B30" s="42">
        <f>SUM(B26:B29)</f>
        <v>6000</v>
      </c>
      <c r="C30" s="42">
        <f>SUM(C26:C29)</f>
        <v>6000</v>
      </c>
      <c r="D30" s="42"/>
      <c r="E30" s="42"/>
      <c r="F30" s="41">
        <f>SUM(F26:F29)*F24</f>
        <v>8500</v>
      </c>
      <c r="G30" s="41">
        <f>SUM(G26:G29)*G24</f>
        <v>1400</v>
      </c>
      <c r="H30" s="11"/>
      <c r="I30" s="11" t="s">
        <v>61</v>
      </c>
      <c r="J30" s="12">
        <f>F30+G30+SUM(J26:J29)</f>
        <v>9900</v>
      </c>
      <c r="K30" s="2"/>
      <c r="L30" s="1"/>
    </row>
    <row r="32" spans="1:12" x14ac:dyDescent="0.15">
      <c r="A32" s="1"/>
      <c r="B32" s="1"/>
      <c r="C32" s="1"/>
      <c r="D32" s="1"/>
      <c r="E32" s="1"/>
      <c r="F32" s="1"/>
      <c r="G32" s="1"/>
      <c r="H32" s="1"/>
      <c r="I32" s="1"/>
      <c r="J32" s="1"/>
    </row>
    <row r="33" spans="1:12" ht="14" thickBot="1" x14ac:dyDescent="0.2">
      <c r="A33" s="1"/>
      <c r="B33" s="1"/>
      <c r="C33" s="1"/>
      <c r="D33" s="1"/>
      <c r="E33" s="1"/>
      <c r="F33" s="1"/>
      <c r="G33" s="1"/>
      <c r="H33" s="1"/>
      <c r="I33" s="1"/>
      <c r="J33" s="1"/>
    </row>
    <row r="34" spans="1:12" x14ac:dyDescent="0.15">
      <c r="A34" s="3"/>
      <c r="B34" s="4"/>
      <c r="C34" s="4"/>
      <c r="D34" s="24" t="s">
        <v>66</v>
      </c>
      <c r="E34" s="4"/>
      <c r="F34" s="4"/>
      <c r="G34" s="4"/>
      <c r="H34" s="4"/>
      <c r="I34" s="4"/>
      <c r="J34" s="5"/>
    </row>
    <row r="35" spans="1:12" x14ac:dyDescent="0.15">
      <c r="A35" s="6"/>
      <c r="B35" s="7"/>
      <c r="C35" s="7"/>
      <c r="D35" s="25">
        <f>D11</f>
        <v>100</v>
      </c>
      <c r="E35" s="7"/>
      <c r="F35" s="22" t="s">
        <v>64</v>
      </c>
      <c r="G35" s="22" t="s">
        <v>65</v>
      </c>
      <c r="H35" s="7"/>
      <c r="I35" s="7"/>
      <c r="J35" s="8"/>
    </row>
    <row r="36" spans="1:12" x14ac:dyDescent="0.15">
      <c r="A36" s="27" t="s">
        <v>68</v>
      </c>
      <c r="B36" s="7" t="s">
        <v>58</v>
      </c>
      <c r="C36" s="7">
        <f>C24</f>
        <v>5</v>
      </c>
      <c r="D36" s="7"/>
      <c r="E36" s="7"/>
      <c r="F36" s="23">
        <f>F12</f>
        <v>500</v>
      </c>
      <c r="G36" s="23">
        <f>G12</f>
        <v>700</v>
      </c>
      <c r="H36" s="7"/>
      <c r="I36" s="20" t="s">
        <v>60</v>
      </c>
      <c r="J36" s="21">
        <f>J12</f>
        <v>5</v>
      </c>
    </row>
    <row r="37" spans="1:12" x14ac:dyDescent="0.15">
      <c r="A37" s="6"/>
      <c r="B37" s="19" t="s">
        <v>52</v>
      </c>
      <c r="C37" s="19" t="s">
        <v>53</v>
      </c>
      <c r="D37" s="19" t="s">
        <v>56</v>
      </c>
      <c r="E37" s="19" t="s">
        <v>56</v>
      </c>
      <c r="F37" s="19" t="s">
        <v>54</v>
      </c>
      <c r="G37" s="19" t="s">
        <v>55</v>
      </c>
      <c r="H37" s="19" t="s">
        <v>59</v>
      </c>
      <c r="I37" s="19" t="s">
        <v>62</v>
      </c>
      <c r="J37" s="28" t="s">
        <v>63</v>
      </c>
    </row>
    <row r="38" spans="1:12" x14ac:dyDescent="0.15">
      <c r="A38" s="6" t="s">
        <v>48</v>
      </c>
      <c r="B38" s="19">
        <f>F$4</f>
        <v>1000</v>
      </c>
      <c r="C38" s="19">
        <v>1000</v>
      </c>
      <c r="D38" s="30">
        <f>(C38/D$11)</f>
        <v>10</v>
      </c>
      <c r="E38" s="102">
        <f>CEILING(D38,1)</f>
        <v>10</v>
      </c>
      <c r="F38" s="19">
        <f>IF(C36&gt;=E38,0,E38-C36)</f>
        <v>5</v>
      </c>
      <c r="G38" s="19">
        <f>IF(C36&gt;=E38,C36-E38,0)</f>
        <v>0</v>
      </c>
      <c r="H38" s="19">
        <f>(C36+F38-G38)</f>
        <v>10</v>
      </c>
      <c r="I38" s="19">
        <f>(H38*D35-B38)</f>
        <v>0</v>
      </c>
      <c r="J38" s="9">
        <f>I38*J$12</f>
        <v>0</v>
      </c>
    </row>
    <row r="39" spans="1:12" x14ac:dyDescent="0.15">
      <c r="A39" s="6" t="s">
        <v>49</v>
      </c>
      <c r="B39" s="19">
        <f>F$5</f>
        <v>1600</v>
      </c>
      <c r="C39" s="19">
        <v>1600</v>
      </c>
      <c r="D39" s="30">
        <f>(C39/D$11)</f>
        <v>16</v>
      </c>
      <c r="E39" s="102">
        <f>CEILING(D39,1)</f>
        <v>16</v>
      </c>
      <c r="F39" s="19">
        <f>IF(H38&gt;=E39,0,E39-H38)</f>
        <v>6</v>
      </c>
      <c r="G39" s="19">
        <f>IF(H38&gt;=E39,H38-E39,0)</f>
        <v>0</v>
      </c>
      <c r="H39" s="19">
        <f>(H38+F39-G39)</f>
        <v>16</v>
      </c>
      <c r="I39" s="19">
        <f>(I38+H39*D$11-B39)</f>
        <v>0</v>
      </c>
      <c r="J39" s="9">
        <f>I39*J$12</f>
        <v>0</v>
      </c>
    </row>
    <row r="40" spans="1:12" x14ac:dyDescent="0.15">
      <c r="A40" s="6" t="s">
        <v>50</v>
      </c>
      <c r="B40" s="19">
        <f>F$6</f>
        <v>1400</v>
      </c>
      <c r="C40" s="19">
        <v>1700</v>
      </c>
      <c r="D40" s="30">
        <f>(C40/D$11)</f>
        <v>17</v>
      </c>
      <c r="E40" s="102">
        <f>CEILING(D40,1)</f>
        <v>17</v>
      </c>
      <c r="F40" s="19">
        <f>IF(H39&gt;=E40,0,E40-H39)</f>
        <v>1</v>
      </c>
      <c r="G40" s="19">
        <f>IF(H39&gt;=E40,H39-E40,0)</f>
        <v>0</v>
      </c>
      <c r="H40" s="19">
        <f>(H39+F40-G40)</f>
        <v>17</v>
      </c>
      <c r="I40" s="19">
        <f>(I39+H40*D$11-B40)</f>
        <v>300</v>
      </c>
      <c r="J40" s="9">
        <f>I40*J$12</f>
        <v>1500</v>
      </c>
    </row>
    <row r="41" spans="1:12" x14ac:dyDescent="0.15">
      <c r="A41" s="6" t="s">
        <v>51</v>
      </c>
      <c r="B41" s="19">
        <f>F$7</f>
        <v>2000</v>
      </c>
      <c r="C41" s="29">
        <v>1700</v>
      </c>
      <c r="D41" s="30">
        <f>(C41/D$11)</f>
        <v>17</v>
      </c>
      <c r="E41" s="102">
        <f>CEILING(D41,1)</f>
        <v>17</v>
      </c>
      <c r="F41" s="19">
        <f>IF(H40&gt;=E41,0,E41-H40)</f>
        <v>0</v>
      </c>
      <c r="G41" s="19">
        <f>IF(H40&gt;=E41,H40-E41,0)</f>
        <v>0</v>
      </c>
      <c r="H41" s="19">
        <f>(H40+F41-G41)</f>
        <v>17</v>
      </c>
      <c r="I41" s="19">
        <f>(I40+H41*D$11-B41)</f>
        <v>0</v>
      </c>
      <c r="J41" s="9">
        <f>I41*J$12</f>
        <v>0</v>
      </c>
      <c r="K41" s="1"/>
      <c r="L41" s="2"/>
    </row>
    <row r="42" spans="1:12" ht="14" thickBot="1" x14ac:dyDescent="0.2">
      <c r="A42" s="10"/>
      <c r="B42" s="42">
        <f>SUM(B38:B41)</f>
        <v>6000</v>
      </c>
      <c r="C42" s="42">
        <f>SUM(C38:C41)</f>
        <v>6000</v>
      </c>
      <c r="D42" s="42"/>
      <c r="E42" s="42"/>
      <c r="F42" s="41">
        <f>SUM(F38:F41)*F36</f>
        <v>6000</v>
      </c>
      <c r="G42" s="41">
        <f>SUM(G38:G41)*G36</f>
        <v>0</v>
      </c>
      <c r="H42" s="11"/>
      <c r="I42" s="11" t="s">
        <v>61</v>
      </c>
      <c r="J42" s="12">
        <f>F42+G42+SUM(J38:J41)</f>
        <v>7500</v>
      </c>
      <c r="K42" s="2"/>
      <c r="L42" s="1"/>
    </row>
    <row r="44" spans="1:12" x14ac:dyDescent="0.15">
      <c r="A44" s="115" t="s">
        <v>46</v>
      </c>
    </row>
    <row r="45" spans="1:12" x14ac:dyDescent="0.15">
      <c r="A45" s="115"/>
    </row>
    <row r="46" spans="1:12" x14ac:dyDescent="0.15">
      <c r="A46" s="116" t="s">
        <v>47</v>
      </c>
    </row>
    <row r="47" spans="1:12" x14ac:dyDescent="0.15">
      <c r="A47" s="116" t="s">
        <v>45</v>
      </c>
    </row>
    <row r="48" spans="1:12" x14ac:dyDescent="0.15">
      <c r="A48" s="116"/>
    </row>
    <row r="49" spans="1:1" x14ac:dyDescent="0.15">
      <c r="A49" s="116" t="s">
        <v>41</v>
      </c>
    </row>
    <row r="50" spans="1:1" x14ac:dyDescent="0.15">
      <c r="A50" s="116" t="s">
        <v>42</v>
      </c>
    </row>
  </sheetData>
  <scenarios current="0">
    <scenario name="sn1" count="4" user="Shane" comment="Created by Shane on 9/22/2003">
      <inputCells r="C38" val="20000"/>
      <inputCells r="C39" val="41000"/>
      <inputCells r="C40" val="42000"/>
      <inputCells r="C41" val="26000"/>
    </scenario>
  </scenarios>
  <phoneticPr fontId="3" type="noConversion"/>
  <pageMargins left="0.25" right="0.25" top="1" bottom="1" header="0.5" footer="0.5"/>
  <pageSetup paperSize="9" scale="91" orientation="portrait"/>
  <headerFooter alignWithMargins="0"/>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3"/>
  <sheetViews>
    <sheetView zoomScale="180" zoomScaleNormal="180" workbookViewId="0">
      <selection activeCell="B19" sqref="B19"/>
    </sheetView>
  </sheetViews>
  <sheetFormatPr baseColWidth="10" defaultColWidth="9" defaultRowHeight="13" x14ac:dyDescent="0.15"/>
  <cols>
    <col min="1" max="1" width="9" customWidth="1"/>
    <col min="2" max="2" width="11.796875" bestFit="1" customWidth="1"/>
    <col min="3" max="3" width="9.3984375" customWidth="1"/>
    <col min="4" max="4" width="11.19921875" bestFit="1" customWidth="1"/>
    <col min="5" max="5" width="9.3984375" customWidth="1"/>
    <col min="6" max="7" width="12.3984375" bestFit="1" customWidth="1"/>
    <col min="8" max="8" width="9.3984375" customWidth="1"/>
    <col min="9" max="9" width="10.59765625" bestFit="1" customWidth="1"/>
    <col min="10" max="10" width="14" bestFit="1" customWidth="1"/>
  </cols>
  <sheetData>
    <row r="1" spans="1:12" ht="14" thickBot="1" x14ac:dyDescent="0.2">
      <c r="A1" s="1"/>
      <c r="B1" s="1"/>
      <c r="C1" s="1"/>
      <c r="D1" s="1"/>
      <c r="E1" s="1"/>
      <c r="F1" s="1"/>
      <c r="G1" s="1"/>
      <c r="H1" s="1"/>
      <c r="I1" s="1"/>
      <c r="J1" s="1"/>
    </row>
    <row r="2" spans="1:12" ht="14" thickBot="1" x14ac:dyDescent="0.2">
      <c r="A2" s="1"/>
      <c r="B2" s="1"/>
      <c r="C2" s="1"/>
      <c r="D2" s="1"/>
      <c r="E2" s="13" t="s">
        <v>48</v>
      </c>
      <c r="F2" s="14">
        <f>APP!F4</f>
        <v>1000</v>
      </c>
      <c r="G2" s="1"/>
      <c r="H2" s="1"/>
      <c r="I2" s="1"/>
      <c r="J2" s="1"/>
    </row>
    <row r="3" spans="1:12" ht="14" thickBot="1" x14ac:dyDescent="0.2">
      <c r="A3" s="1"/>
      <c r="B3" s="1"/>
      <c r="C3" s="1"/>
      <c r="D3" s="1"/>
      <c r="E3" s="15" t="s">
        <v>49</v>
      </c>
      <c r="F3" s="14">
        <f>APP!F5</f>
        <v>1600</v>
      </c>
      <c r="G3" s="1"/>
      <c r="H3" s="1"/>
      <c r="I3" s="1"/>
      <c r="J3" s="1"/>
    </row>
    <row r="4" spans="1:12" ht="14" thickBot="1" x14ac:dyDescent="0.2">
      <c r="A4" s="1"/>
      <c r="B4" s="1"/>
      <c r="C4" s="1"/>
      <c r="D4" s="1"/>
      <c r="E4" s="15" t="s">
        <v>50</v>
      </c>
      <c r="F4" s="14">
        <f>APP!F6</f>
        <v>1400</v>
      </c>
      <c r="G4" s="1"/>
      <c r="H4" s="1"/>
      <c r="I4" s="1"/>
      <c r="J4" s="1"/>
    </row>
    <row r="5" spans="1:12" x14ac:dyDescent="0.15">
      <c r="A5" s="1"/>
      <c r="B5" s="1"/>
      <c r="C5" s="1"/>
      <c r="D5" s="1"/>
      <c r="E5" s="15" t="s">
        <v>51</v>
      </c>
      <c r="F5" s="14">
        <f>APP!F7</f>
        <v>2000</v>
      </c>
      <c r="G5" s="1"/>
      <c r="H5" s="1"/>
      <c r="I5" s="1"/>
      <c r="J5" s="1"/>
    </row>
    <row r="6" spans="1:12" ht="14" thickBot="1" x14ac:dyDescent="0.2">
      <c r="A6" s="1"/>
      <c r="B6" s="1"/>
      <c r="C6" s="1"/>
      <c r="D6" s="1"/>
      <c r="E6" s="17"/>
      <c r="F6" s="18">
        <f>AVERAGE(F2:F5)</f>
        <v>1500</v>
      </c>
      <c r="G6" s="1"/>
      <c r="H6" s="1"/>
      <c r="I6" s="1"/>
      <c r="J6" s="1"/>
    </row>
    <row r="7" spans="1:12" ht="12" customHeight="1" thickBot="1" x14ac:dyDescent="0.2">
      <c r="A7" s="1"/>
      <c r="B7" s="1"/>
      <c r="C7" s="1"/>
      <c r="D7" s="1"/>
      <c r="E7" s="1"/>
      <c r="F7" s="1"/>
      <c r="G7" s="1"/>
      <c r="H7" s="1"/>
      <c r="I7" s="1"/>
      <c r="J7" s="1"/>
    </row>
    <row r="8" spans="1:12" x14ac:dyDescent="0.15">
      <c r="A8" s="3"/>
      <c r="B8" s="4"/>
      <c r="C8" s="4"/>
      <c r="D8" s="24" t="s">
        <v>66</v>
      </c>
      <c r="E8" s="4"/>
      <c r="F8" s="4"/>
      <c r="G8" s="4"/>
      <c r="H8" s="4"/>
      <c r="I8" s="4"/>
      <c r="J8" s="5"/>
    </row>
    <row r="9" spans="1:12" x14ac:dyDescent="0.15">
      <c r="A9" s="6"/>
      <c r="B9" s="7"/>
      <c r="C9" s="7"/>
      <c r="D9" s="25">
        <v>100</v>
      </c>
      <c r="E9" s="7"/>
      <c r="F9" s="22" t="s">
        <v>64</v>
      </c>
      <c r="G9" s="22" t="s">
        <v>65</v>
      </c>
      <c r="H9" s="7"/>
      <c r="I9" s="7"/>
      <c r="J9" s="8"/>
    </row>
    <row r="10" spans="1:12" x14ac:dyDescent="0.15">
      <c r="A10" s="27" t="s">
        <v>68</v>
      </c>
      <c r="B10" s="7" t="s">
        <v>58</v>
      </c>
      <c r="C10" s="7">
        <v>5</v>
      </c>
      <c r="D10" s="7"/>
      <c r="E10" s="7"/>
      <c r="F10" s="23">
        <v>500</v>
      </c>
      <c r="G10" s="23">
        <v>700</v>
      </c>
      <c r="H10" s="7"/>
      <c r="I10" s="20" t="s">
        <v>60</v>
      </c>
      <c r="J10" s="21" t="e">
        <f>#REF!</f>
        <v>#REF!</v>
      </c>
    </row>
    <row r="11" spans="1:12" x14ac:dyDescent="0.15">
      <c r="A11" s="6"/>
      <c r="B11" s="19" t="s">
        <v>52</v>
      </c>
      <c r="C11" s="19" t="s">
        <v>53</v>
      </c>
      <c r="D11" s="19" t="s">
        <v>56</v>
      </c>
      <c r="E11" s="19" t="s">
        <v>56</v>
      </c>
      <c r="F11" s="19" t="s">
        <v>54</v>
      </c>
      <c r="G11" s="19" t="s">
        <v>55</v>
      </c>
      <c r="H11" s="19" t="s">
        <v>59</v>
      </c>
      <c r="I11" s="19" t="s">
        <v>62</v>
      </c>
      <c r="J11" s="28" t="s">
        <v>63</v>
      </c>
    </row>
    <row r="12" spans="1:12" x14ac:dyDescent="0.15">
      <c r="A12" s="6" t="s">
        <v>48</v>
      </c>
      <c r="B12" s="19">
        <f>F2</f>
        <v>1000</v>
      </c>
      <c r="C12" s="19">
        <v>1000</v>
      </c>
      <c r="D12" s="30">
        <f>(C12/D$9)</f>
        <v>10</v>
      </c>
      <c r="E12" s="102">
        <f>CEILING(D12,1)</f>
        <v>10</v>
      </c>
      <c r="F12" s="19">
        <f>IF(C10&gt;=E12,0,E12-C10)</f>
        <v>5</v>
      </c>
      <c r="G12" s="19">
        <f>IF(C10&gt;=E12,C10-E12,0)</f>
        <v>0</v>
      </c>
      <c r="H12" s="19">
        <f>(C10+F12-G12)</f>
        <v>10</v>
      </c>
      <c r="I12" s="19">
        <f>(H12*D9-B12)</f>
        <v>0</v>
      </c>
      <c r="J12" s="9">
        <f ca="1">I12*J$12</f>
        <v>0</v>
      </c>
    </row>
    <row r="13" spans="1:12" x14ac:dyDescent="0.15">
      <c r="A13" s="6" t="s">
        <v>49</v>
      </c>
      <c r="B13" s="19">
        <f t="shared" ref="B13:B15" si="0">F3</f>
        <v>1600</v>
      </c>
      <c r="C13" s="19">
        <v>1600</v>
      </c>
      <c r="D13" s="30">
        <f t="shared" ref="D13:D15" si="1">(C13/D$9)</f>
        <v>16</v>
      </c>
      <c r="E13" s="102">
        <f>CEILING(D13,1)</f>
        <v>16</v>
      </c>
      <c r="F13" s="19">
        <f>IF(H12&gt;=E13,0,E13-H12)</f>
        <v>6</v>
      </c>
      <c r="G13" s="19">
        <f>IF(H12&gt;=E13,H12-E13,0)</f>
        <v>0</v>
      </c>
      <c r="H13" s="19">
        <f>(H12+F13-G13)</f>
        <v>16</v>
      </c>
      <c r="I13" s="19">
        <f>(I12+H13*D$9-B13)</f>
        <v>0</v>
      </c>
      <c r="J13" s="9">
        <f ca="1">I13*J$12</f>
        <v>0</v>
      </c>
    </row>
    <row r="14" spans="1:12" x14ac:dyDescent="0.15">
      <c r="A14" s="6" t="s">
        <v>50</v>
      </c>
      <c r="B14" s="19">
        <f t="shared" si="0"/>
        <v>1400</v>
      </c>
      <c r="C14" s="19">
        <v>1700</v>
      </c>
      <c r="D14" s="30">
        <f t="shared" si="1"/>
        <v>17</v>
      </c>
      <c r="E14" s="102">
        <f>CEILING(D14,1)</f>
        <v>17</v>
      </c>
      <c r="F14" s="19">
        <f>IF(H13&gt;=E14,0,E14-H13)</f>
        <v>1</v>
      </c>
      <c r="G14" s="19">
        <f>IF(H13&gt;=E14,H13-E14,0)</f>
        <v>0</v>
      </c>
      <c r="H14" s="19">
        <f>(H13+F14-G14)</f>
        <v>17</v>
      </c>
      <c r="I14" s="19">
        <f t="shared" ref="I14:I15" si="2">(I13+H14*D$9-B14)</f>
        <v>300</v>
      </c>
      <c r="J14" s="9">
        <f ca="1">I14*J$12</f>
        <v>1500</v>
      </c>
    </row>
    <row r="15" spans="1:12" x14ac:dyDescent="0.15">
      <c r="A15" s="6" t="s">
        <v>51</v>
      </c>
      <c r="B15" s="19">
        <f t="shared" si="0"/>
        <v>2000</v>
      </c>
      <c r="C15" s="29">
        <v>1700</v>
      </c>
      <c r="D15" s="30">
        <f t="shared" si="1"/>
        <v>17</v>
      </c>
      <c r="E15" s="102">
        <f>CEILING(D15,1)</f>
        <v>17</v>
      </c>
      <c r="F15" s="19">
        <f>IF(H14&gt;=E15,0,E15-H14)</f>
        <v>0</v>
      </c>
      <c r="G15" s="19">
        <f>IF(H14&gt;=E15,H14-E15,0)</f>
        <v>0</v>
      </c>
      <c r="H15" s="19">
        <f>(H14+F15-G15)</f>
        <v>17</v>
      </c>
      <c r="I15" s="19">
        <f t="shared" si="2"/>
        <v>0</v>
      </c>
      <c r="J15" s="9">
        <f ca="1">I15*J$12</f>
        <v>0</v>
      </c>
      <c r="K15" s="1"/>
      <c r="L15" s="2"/>
    </row>
    <row r="16" spans="1:12" ht="14" thickBot="1" x14ac:dyDescent="0.2">
      <c r="A16" s="10"/>
      <c r="B16" s="42">
        <f>SUM(B12:B15)</f>
        <v>6000</v>
      </c>
      <c r="C16" s="42">
        <f>SUM(C12:C15)</f>
        <v>6000</v>
      </c>
      <c r="D16" s="42"/>
      <c r="E16" s="42"/>
      <c r="F16" s="41">
        <f>SUM(F12:F15)*F10</f>
        <v>6000</v>
      </c>
      <c r="G16" s="41">
        <f>SUM(G12:G15)*G10</f>
        <v>0</v>
      </c>
      <c r="H16" s="11"/>
      <c r="I16" s="11" t="s">
        <v>61</v>
      </c>
      <c r="J16" s="12">
        <f ca="1">F16+G16+SUM(J12:J15)</f>
        <v>7500</v>
      </c>
      <c r="K16" s="2"/>
      <c r="L16" s="1"/>
    </row>
    <row r="18" spans="1:12" x14ac:dyDescent="0.15">
      <c r="A18" s="1"/>
      <c r="B18" s="1"/>
      <c r="C18" s="1"/>
      <c r="D18" s="1"/>
      <c r="E18" s="1"/>
      <c r="F18" s="1"/>
      <c r="G18" s="1"/>
      <c r="H18" s="1"/>
      <c r="I18" s="1"/>
      <c r="J18" s="1"/>
    </row>
    <row r="19" spans="1:12" x14ac:dyDescent="0.15">
      <c r="A19" s="31"/>
      <c r="B19" s="115" t="s">
        <v>171</v>
      </c>
      <c r="C19" s="31"/>
      <c r="D19" s="31"/>
      <c r="E19" s="31"/>
      <c r="F19" s="31"/>
      <c r="G19" s="31"/>
      <c r="H19" s="31"/>
      <c r="I19" s="31"/>
      <c r="J19" s="31"/>
    </row>
    <row r="20" spans="1:12" x14ac:dyDescent="0.15">
      <c r="A20" s="31"/>
      <c r="B20" s="31"/>
      <c r="C20" s="31"/>
      <c r="D20" s="26"/>
      <c r="E20" s="31"/>
      <c r="F20" s="31"/>
      <c r="G20" s="31"/>
      <c r="H20" s="31"/>
      <c r="I20" s="31"/>
      <c r="J20" s="31"/>
    </row>
    <row r="21" spans="1:12" x14ac:dyDescent="0.15">
      <c r="A21" s="31"/>
      <c r="B21" s="31"/>
      <c r="C21" s="31"/>
      <c r="D21" s="26"/>
      <c r="E21" s="31"/>
      <c r="F21" s="26"/>
      <c r="G21" s="26"/>
      <c r="H21" s="31"/>
      <c r="I21" s="31"/>
      <c r="J21" s="31"/>
    </row>
    <row r="22" spans="1:12" x14ac:dyDescent="0.15">
      <c r="A22" s="35"/>
      <c r="B22" s="31"/>
      <c r="C22" s="31"/>
      <c r="D22" s="31"/>
      <c r="E22" s="31"/>
      <c r="F22" s="33"/>
      <c r="G22" s="33"/>
      <c r="H22" s="31"/>
      <c r="I22" s="26"/>
      <c r="J22" s="33"/>
    </row>
    <row r="23" spans="1:12" x14ac:dyDescent="0.15">
      <c r="A23" s="31"/>
      <c r="B23" s="26"/>
      <c r="C23" s="26"/>
      <c r="D23" s="26"/>
      <c r="E23" s="26"/>
      <c r="F23" s="26"/>
      <c r="G23" s="26"/>
      <c r="H23" s="26"/>
      <c r="I23" s="26"/>
      <c r="J23" s="36"/>
    </row>
    <row r="24" spans="1:12" x14ac:dyDescent="0.15">
      <c r="A24" s="31"/>
      <c r="B24" s="26"/>
      <c r="C24" s="26"/>
      <c r="D24" s="32"/>
      <c r="E24" s="26"/>
      <c r="F24" s="26"/>
      <c r="G24" s="26"/>
      <c r="H24" s="26"/>
      <c r="I24" s="26"/>
      <c r="J24" s="37"/>
    </row>
    <row r="25" spans="1:12" x14ac:dyDescent="0.15">
      <c r="A25" s="31"/>
      <c r="B25" s="26"/>
      <c r="C25" s="26"/>
      <c r="D25" s="32"/>
      <c r="E25" s="26"/>
      <c r="F25" s="26"/>
      <c r="G25" s="26"/>
      <c r="H25" s="26"/>
      <c r="I25" s="26"/>
      <c r="J25" s="37"/>
    </row>
    <row r="26" spans="1:12" x14ac:dyDescent="0.15">
      <c r="A26" s="31"/>
      <c r="B26" s="26"/>
      <c r="C26" s="26"/>
      <c r="D26" s="32"/>
      <c r="E26" s="26"/>
      <c r="F26" s="26"/>
      <c r="G26" s="26"/>
      <c r="H26" s="26"/>
      <c r="I26" s="26"/>
      <c r="J26" s="37"/>
    </row>
    <row r="27" spans="1:12" x14ac:dyDescent="0.15">
      <c r="A27" s="31"/>
      <c r="B27" s="26"/>
      <c r="C27" s="26"/>
      <c r="D27" s="32"/>
      <c r="E27" s="26"/>
      <c r="F27" s="26"/>
      <c r="G27" s="26"/>
      <c r="H27" s="26"/>
      <c r="I27" s="26"/>
      <c r="J27" s="37"/>
    </row>
    <row r="28" spans="1:12" x14ac:dyDescent="0.15">
      <c r="A28" s="31"/>
      <c r="B28" s="26"/>
      <c r="C28" s="26"/>
      <c r="D28" s="26"/>
      <c r="E28" s="26"/>
      <c r="F28" s="26"/>
      <c r="G28" s="26"/>
      <c r="H28" s="26"/>
      <c r="I28" s="26"/>
      <c r="J28" s="37"/>
    </row>
    <row r="29" spans="1:12" x14ac:dyDescent="0.15">
      <c r="A29" s="31"/>
      <c r="B29" s="26"/>
      <c r="C29" s="26"/>
      <c r="D29" s="26"/>
      <c r="E29" s="26"/>
      <c r="F29" s="33"/>
      <c r="G29" s="33"/>
      <c r="H29" s="31"/>
      <c r="I29" s="31"/>
      <c r="J29" s="37"/>
      <c r="K29" s="2"/>
      <c r="L29" s="1"/>
    </row>
    <row r="30" spans="1:12" x14ac:dyDescent="0.15">
      <c r="A30" s="31"/>
      <c r="B30" s="31"/>
      <c r="C30" s="31"/>
      <c r="D30" s="31"/>
      <c r="E30" s="31"/>
      <c r="F30" s="31"/>
      <c r="G30" s="31"/>
      <c r="H30" s="31"/>
      <c r="I30" s="31"/>
      <c r="J30" s="31"/>
    </row>
    <row r="31" spans="1:12" x14ac:dyDescent="0.15">
      <c r="A31" s="31"/>
      <c r="B31" s="31"/>
      <c r="C31" s="31"/>
      <c r="D31" s="31"/>
      <c r="E31" s="31"/>
      <c r="F31" s="31"/>
      <c r="G31" s="31"/>
      <c r="H31" s="31"/>
      <c r="I31" s="31"/>
      <c r="J31" s="31"/>
    </row>
    <row r="32" spans="1:12" x14ac:dyDescent="0.15">
      <c r="A32" s="31"/>
      <c r="B32" s="31"/>
      <c r="C32" s="31"/>
      <c r="D32" s="26"/>
      <c r="E32" s="31"/>
      <c r="F32" s="31"/>
      <c r="G32" s="31"/>
      <c r="H32" s="31"/>
      <c r="I32" s="31"/>
      <c r="J32" s="31"/>
    </row>
    <row r="33" spans="1:12" x14ac:dyDescent="0.15">
      <c r="A33" s="31"/>
      <c r="B33" s="31"/>
      <c r="C33" s="31"/>
      <c r="D33" s="26"/>
      <c r="E33" s="31"/>
      <c r="F33" s="26"/>
      <c r="G33" s="26"/>
      <c r="H33" s="31"/>
      <c r="I33" s="31"/>
      <c r="J33" s="31"/>
    </row>
    <row r="34" spans="1:12" x14ac:dyDescent="0.15">
      <c r="A34" s="35"/>
      <c r="B34" s="31"/>
      <c r="C34" s="31"/>
      <c r="D34" s="31"/>
      <c r="E34" s="31"/>
      <c r="F34" s="33"/>
      <c r="G34" s="33"/>
      <c r="H34" s="31"/>
      <c r="I34" s="26"/>
      <c r="J34" s="33"/>
    </row>
    <row r="35" spans="1:12" x14ac:dyDescent="0.15">
      <c r="A35" s="31"/>
      <c r="B35" s="26"/>
      <c r="C35" s="26"/>
      <c r="D35" s="26"/>
      <c r="E35" s="26"/>
      <c r="F35" s="26"/>
      <c r="G35" s="26"/>
      <c r="H35" s="26"/>
      <c r="I35" s="26"/>
      <c r="J35" s="36"/>
    </row>
    <row r="36" spans="1:12" x14ac:dyDescent="0.15">
      <c r="A36" s="31"/>
      <c r="B36" s="26"/>
      <c r="C36" s="26"/>
      <c r="D36" s="32"/>
      <c r="E36" s="26"/>
      <c r="F36" s="26"/>
      <c r="G36" s="26"/>
      <c r="H36" s="26"/>
      <c r="I36" s="26"/>
      <c r="J36" s="37"/>
    </row>
    <row r="37" spans="1:12" x14ac:dyDescent="0.15">
      <c r="A37" s="31"/>
      <c r="B37" s="26"/>
      <c r="C37" s="26"/>
      <c r="D37" s="32"/>
      <c r="E37" s="26"/>
      <c r="F37" s="26"/>
      <c r="G37" s="26"/>
      <c r="H37" s="26"/>
      <c r="I37" s="26"/>
      <c r="J37" s="37"/>
    </row>
    <row r="38" spans="1:12" x14ac:dyDescent="0.15">
      <c r="A38" s="31"/>
      <c r="B38" s="26"/>
      <c r="C38" s="26"/>
      <c r="D38" s="32"/>
      <c r="E38" s="26"/>
      <c r="F38" s="26"/>
      <c r="G38" s="26"/>
      <c r="H38" s="26"/>
      <c r="I38" s="26"/>
      <c r="J38" s="37"/>
    </row>
    <row r="39" spans="1:12" x14ac:dyDescent="0.15">
      <c r="A39" s="31"/>
      <c r="B39" s="26"/>
      <c r="C39" s="26"/>
      <c r="D39" s="32"/>
      <c r="E39" s="26"/>
      <c r="F39" s="26"/>
      <c r="G39" s="26"/>
      <c r="H39" s="26"/>
      <c r="I39" s="26"/>
      <c r="J39" s="37"/>
    </row>
    <row r="40" spans="1:12" x14ac:dyDescent="0.15">
      <c r="A40" s="31"/>
      <c r="B40" s="26"/>
      <c r="C40" s="26"/>
      <c r="D40" s="26"/>
      <c r="E40" s="26"/>
      <c r="F40" s="26"/>
      <c r="G40" s="26"/>
      <c r="H40" s="26"/>
      <c r="I40" s="26"/>
      <c r="J40" s="37"/>
    </row>
    <row r="41" spans="1:12" x14ac:dyDescent="0.15">
      <c r="A41" s="31"/>
      <c r="B41" s="26"/>
      <c r="C41" s="26"/>
      <c r="D41" s="26"/>
      <c r="E41" s="26"/>
      <c r="F41" s="33"/>
      <c r="G41" s="33"/>
      <c r="H41" s="31"/>
      <c r="I41" s="31"/>
      <c r="J41" s="37"/>
      <c r="K41" s="2"/>
      <c r="L41" s="1"/>
    </row>
    <row r="42" spans="1:12" x14ac:dyDescent="0.15">
      <c r="A42" s="31"/>
      <c r="B42" s="31"/>
      <c r="C42" s="31"/>
      <c r="D42" s="31"/>
      <c r="E42" s="31"/>
      <c r="F42" s="31"/>
      <c r="G42" s="31"/>
      <c r="H42" s="31"/>
      <c r="I42" s="31"/>
      <c r="J42" s="31"/>
    </row>
    <row r="43" spans="1:12" x14ac:dyDescent="0.15">
      <c r="A43" s="31"/>
      <c r="B43" s="31"/>
      <c r="C43" s="31"/>
      <c r="D43" s="31"/>
      <c r="E43" s="31"/>
      <c r="F43" s="31"/>
      <c r="G43" s="31"/>
      <c r="H43" s="31"/>
      <c r="I43" s="31"/>
      <c r="J43" s="31"/>
    </row>
    <row r="44" spans="1:12" x14ac:dyDescent="0.15">
      <c r="A44" s="31"/>
      <c r="B44" s="31"/>
      <c r="C44" s="31"/>
      <c r="D44" s="31"/>
      <c r="E44" s="31"/>
      <c r="F44" s="31"/>
      <c r="G44" s="31"/>
      <c r="H44" s="31"/>
      <c r="I44" s="31"/>
      <c r="J44" s="31"/>
    </row>
    <row r="45" spans="1:12" x14ac:dyDescent="0.15">
      <c r="A45" s="31"/>
      <c r="B45" s="31"/>
      <c r="C45" s="31"/>
      <c r="D45" s="31"/>
      <c r="E45" s="31"/>
      <c r="F45" s="31"/>
      <c r="G45" s="31"/>
      <c r="H45" s="31"/>
      <c r="I45" s="31"/>
      <c r="J45" s="31"/>
    </row>
    <row r="46" spans="1:12" x14ac:dyDescent="0.15">
      <c r="A46" s="31"/>
      <c r="B46" s="31"/>
      <c r="C46" s="31"/>
      <c r="D46" s="26"/>
      <c r="E46" s="31"/>
      <c r="F46" s="31"/>
      <c r="G46" s="31"/>
      <c r="H46" s="31"/>
      <c r="I46" s="31"/>
      <c r="J46" s="31"/>
    </row>
    <row r="47" spans="1:12" x14ac:dyDescent="0.15">
      <c r="A47" s="31"/>
      <c r="B47" s="31"/>
      <c r="C47" s="31"/>
      <c r="D47" s="26"/>
      <c r="E47" s="31"/>
      <c r="F47" s="26"/>
      <c r="G47" s="26"/>
      <c r="H47" s="31"/>
      <c r="I47" s="31"/>
      <c r="J47" s="31"/>
    </row>
    <row r="48" spans="1:12" x14ac:dyDescent="0.15">
      <c r="A48" s="35"/>
      <c r="B48" s="31"/>
      <c r="C48" s="31"/>
      <c r="D48" s="31"/>
      <c r="E48" s="31"/>
      <c r="F48" s="33"/>
      <c r="G48" s="33"/>
      <c r="H48" s="31"/>
      <c r="I48" s="26"/>
      <c r="J48" s="33"/>
    </row>
    <row r="49" spans="1:10" x14ac:dyDescent="0.15">
      <c r="A49" s="31"/>
      <c r="B49" s="26"/>
      <c r="C49" s="26"/>
      <c r="D49" s="26"/>
      <c r="E49" s="26"/>
      <c r="F49" s="26"/>
      <c r="G49" s="26"/>
      <c r="H49" s="26"/>
      <c r="I49" s="26"/>
      <c r="J49" s="36"/>
    </row>
    <row r="50" spans="1:10" x14ac:dyDescent="0.15">
      <c r="A50" s="31"/>
      <c r="B50" s="26"/>
      <c r="C50" s="26"/>
      <c r="D50" s="32"/>
      <c r="E50" s="26"/>
      <c r="F50" s="26"/>
      <c r="G50" s="26"/>
      <c r="H50" s="26"/>
      <c r="I50" s="26"/>
      <c r="J50" s="37"/>
    </row>
    <row r="51" spans="1:10" x14ac:dyDescent="0.15">
      <c r="A51" s="31"/>
      <c r="B51" s="26"/>
      <c r="C51" s="26"/>
      <c r="D51" s="32"/>
      <c r="E51" s="26"/>
      <c r="F51" s="26"/>
      <c r="G51" s="26"/>
      <c r="H51" s="26"/>
      <c r="I51" s="26"/>
      <c r="J51" s="37"/>
    </row>
    <row r="52" spans="1:10" x14ac:dyDescent="0.15">
      <c r="A52" s="31"/>
      <c r="B52" s="26"/>
      <c r="C52" s="26"/>
      <c r="D52" s="32"/>
      <c r="E52" s="26"/>
      <c r="F52" s="26"/>
      <c r="G52" s="26"/>
      <c r="H52" s="26"/>
      <c r="I52" s="26"/>
      <c r="J52" s="37"/>
    </row>
    <row r="53" spans="1:10" x14ac:dyDescent="0.15">
      <c r="A53" s="31"/>
      <c r="B53" s="26"/>
      <c r="C53" s="26"/>
      <c r="D53" s="32"/>
      <c r="E53" s="26"/>
      <c r="F53" s="26"/>
      <c r="G53" s="26"/>
      <c r="H53" s="26"/>
      <c r="I53" s="26"/>
      <c r="J53" s="37"/>
    </row>
    <row r="54" spans="1:10" x14ac:dyDescent="0.15">
      <c r="A54" s="31"/>
      <c r="B54" s="26"/>
      <c r="C54" s="26"/>
      <c r="D54" s="26"/>
      <c r="E54" s="26"/>
      <c r="F54" s="33"/>
      <c r="G54" s="33"/>
      <c r="H54" s="31"/>
      <c r="I54" s="31"/>
      <c r="J54" s="37"/>
    </row>
    <row r="55" spans="1:10" x14ac:dyDescent="0.15">
      <c r="A55" s="31"/>
      <c r="B55" s="31"/>
      <c r="C55" s="31"/>
      <c r="D55" s="31"/>
      <c r="E55" s="31"/>
      <c r="F55" s="31"/>
      <c r="G55" s="31"/>
      <c r="H55" s="31"/>
      <c r="I55" s="31"/>
      <c r="J55" s="37"/>
    </row>
    <row r="56" spans="1:10" x14ac:dyDescent="0.15">
      <c r="A56" s="31"/>
      <c r="B56" s="31"/>
      <c r="C56" s="31"/>
      <c r="D56" s="31"/>
      <c r="E56" s="31"/>
      <c r="F56" s="31"/>
      <c r="G56" s="31"/>
      <c r="H56" s="31"/>
      <c r="I56" s="31"/>
      <c r="J56" s="31"/>
    </row>
    <row r="57" spans="1:10" x14ac:dyDescent="0.15">
      <c r="A57" s="31"/>
      <c r="B57" s="31"/>
      <c r="C57" s="31"/>
      <c r="D57" s="31"/>
      <c r="E57" s="31"/>
      <c r="F57" s="31"/>
      <c r="G57" s="31"/>
      <c r="H57" s="31"/>
      <c r="I57" s="31"/>
      <c r="J57" s="31"/>
    </row>
    <row r="58" spans="1:10" x14ac:dyDescent="0.15">
      <c r="A58" s="31"/>
      <c r="B58" s="31"/>
      <c r="C58" s="31"/>
      <c r="D58" s="26"/>
      <c r="E58" s="31"/>
      <c r="F58" s="31"/>
      <c r="G58" s="31"/>
      <c r="H58" s="31"/>
      <c r="I58" s="31"/>
      <c r="J58" s="31"/>
    </row>
    <row r="59" spans="1:10" x14ac:dyDescent="0.15">
      <c r="A59" s="31"/>
      <c r="B59" s="31"/>
      <c r="C59" s="31"/>
      <c r="D59" s="26"/>
      <c r="E59" s="31"/>
      <c r="F59" s="26"/>
      <c r="G59" s="26"/>
      <c r="H59" s="31"/>
      <c r="I59" s="31"/>
      <c r="J59" s="31"/>
    </row>
    <row r="60" spans="1:10" x14ac:dyDescent="0.15">
      <c r="A60" s="35"/>
      <c r="B60" s="31"/>
      <c r="C60" s="31"/>
      <c r="D60" s="31"/>
      <c r="E60" s="31"/>
      <c r="F60" s="33"/>
      <c r="G60" s="33"/>
      <c r="H60" s="31"/>
      <c r="I60" s="26"/>
      <c r="J60" s="33"/>
    </row>
    <row r="61" spans="1:10" x14ac:dyDescent="0.15">
      <c r="A61" s="31"/>
      <c r="B61" s="26"/>
      <c r="C61" s="26"/>
      <c r="D61" s="26"/>
      <c r="E61" s="26"/>
      <c r="F61" s="26"/>
      <c r="G61" s="26"/>
      <c r="H61" s="26"/>
      <c r="I61" s="26"/>
      <c r="J61" s="36"/>
    </row>
    <row r="62" spans="1:10" x14ac:dyDescent="0.15">
      <c r="A62" s="31"/>
      <c r="B62" s="26"/>
      <c r="C62" s="26"/>
      <c r="D62" s="26"/>
      <c r="E62" s="26"/>
      <c r="F62" s="26"/>
      <c r="G62" s="26"/>
      <c r="H62" s="26"/>
      <c r="I62" s="26"/>
      <c r="J62" s="37"/>
    </row>
    <row r="63" spans="1:10" x14ac:dyDescent="0.15">
      <c r="A63" s="31"/>
      <c r="B63" s="26"/>
      <c r="C63" s="26"/>
      <c r="D63" s="26"/>
      <c r="E63" s="26"/>
      <c r="F63" s="26"/>
      <c r="G63" s="26"/>
      <c r="H63" s="26"/>
      <c r="I63" s="26"/>
      <c r="J63" s="37"/>
    </row>
    <row r="64" spans="1:10" x14ac:dyDescent="0.15">
      <c r="A64" s="31"/>
      <c r="B64" s="26"/>
      <c r="C64" s="26"/>
      <c r="D64" s="26"/>
      <c r="E64" s="26"/>
      <c r="F64" s="26"/>
      <c r="G64" s="26"/>
      <c r="H64" s="26"/>
      <c r="I64" s="34"/>
      <c r="J64" s="38"/>
    </row>
    <row r="65" spans="1:10" x14ac:dyDescent="0.15">
      <c r="A65" s="31"/>
      <c r="B65" s="26"/>
      <c r="C65" s="26"/>
      <c r="D65" s="26"/>
      <c r="E65" s="26"/>
      <c r="F65" s="26"/>
      <c r="G65" s="26"/>
      <c r="H65" s="26"/>
      <c r="I65" s="26"/>
      <c r="J65" s="37"/>
    </row>
    <row r="66" spans="1:10" x14ac:dyDescent="0.15">
      <c r="A66" s="31"/>
      <c r="B66" s="26"/>
      <c r="C66" s="26"/>
      <c r="D66" s="26"/>
      <c r="E66" s="26"/>
      <c r="F66" s="33"/>
      <c r="G66" s="33"/>
      <c r="H66" s="31"/>
      <c r="I66" s="31"/>
      <c r="J66" s="37"/>
    </row>
    <row r="67" spans="1:10" x14ac:dyDescent="0.15">
      <c r="A67" s="31"/>
      <c r="B67" s="31"/>
      <c r="C67" s="31"/>
      <c r="D67" s="31"/>
      <c r="E67" s="31"/>
      <c r="F67" s="31"/>
      <c r="G67" s="31"/>
      <c r="H67" s="31"/>
      <c r="I67" s="31"/>
      <c r="J67" s="37"/>
    </row>
    <row r="68" spans="1:10" x14ac:dyDescent="0.15">
      <c r="A68" s="31"/>
      <c r="B68" s="31"/>
      <c r="C68" s="31"/>
      <c r="D68" s="31"/>
      <c r="E68" s="31"/>
      <c r="F68" s="31"/>
      <c r="G68" s="31"/>
      <c r="H68" s="31"/>
      <c r="I68" s="31"/>
      <c r="J68" s="31"/>
    </row>
    <row r="69" spans="1:10" x14ac:dyDescent="0.15">
      <c r="A69" s="31"/>
      <c r="B69" s="31"/>
      <c r="C69" s="31"/>
      <c r="D69" s="31"/>
      <c r="E69" s="31"/>
      <c r="F69" s="31"/>
      <c r="G69" s="31"/>
      <c r="H69" s="31"/>
      <c r="I69" s="31"/>
      <c r="J69" s="31"/>
    </row>
    <row r="70" spans="1:10" x14ac:dyDescent="0.15">
      <c r="A70" s="31"/>
      <c r="B70" s="31"/>
      <c r="C70" s="31"/>
      <c r="D70" s="31"/>
      <c r="E70" s="31"/>
      <c r="F70" s="31"/>
      <c r="G70" s="31"/>
      <c r="H70" s="31"/>
      <c r="I70" s="31"/>
      <c r="J70" s="31"/>
    </row>
    <row r="71" spans="1:10" x14ac:dyDescent="0.15">
      <c r="A71" s="31"/>
      <c r="B71" s="31"/>
      <c r="C71" s="31"/>
      <c r="D71" s="31"/>
      <c r="E71" s="31"/>
      <c r="F71" s="31"/>
      <c r="G71" s="31"/>
      <c r="H71" s="31"/>
      <c r="I71" s="31"/>
      <c r="J71" s="31"/>
    </row>
    <row r="72" spans="1:10" x14ac:dyDescent="0.15">
      <c r="A72" s="31"/>
      <c r="B72" s="31"/>
      <c r="C72" s="31"/>
      <c r="D72" s="31"/>
      <c r="E72" s="31"/>
      <c r="F72" s="31"/>
      <c r="G72" s="31"/>
      <c r="H72" s="31"/>
      <c r="I72" s="31"/>
      <c r="J72" s="31"/>
    </row>
    <row r="73" spans="1:10" x14ac:dyDescent="0.15">
      <c r="A73" s="31"/>
      <c r="B73" s="31"/>
      <c r="C73" s="31"/>
      <c r="D73" s="31"/>
      <c r="E73" s="31"/>
      <c r="F73" s="31"/>
      <c r="G73" s="31"/>
      <c r="H73" s="31"/>
      <c r="I73" s="31"/>
      <c r="J73" s="31"/>
    </row>
    <row r="74" spans="1:10" x14ac:dyDescent="0.15">
      <c r="A74" s="31"/>
      <c r="B74" s="31"/>
      <c r="C74" s="31"/>
      <c r="D74" s="31"/>
      <c r="E74" s="31"/>
      <c r="F74" s="31"/>
      <c r="G74" s="31"/>
      <c r="H74" s="31"/>
      <c r="I74" s="31"/>
      <c r="J74" s="31"/>
    </row>
    <row r="75" spans="1:10" x14ac:dyDescent="0.15">
      <c r="A75" s="31"/>
      <c r="B75" s="31"/>
      <c r="C75" s="31"/>
      <c r="D75" s="31"/>
      <c r="E75" s="31"/>
      <c r="F75" s="31"/>
      <c r="G75" s="31"/>
      <c r="H75" s="31"/>
      <c r="I75" s="31"/>
      <c r="J75" s="31"/>
    </row>
    <row r="76" spans="1:10" x14ac:dyDescent="0.15">
      <c r="A76" s="31"/>
      <c r="B76" s="31"/>
      <c r="C76" s="31"/>
      <c r="D76" s="31"/>
      <c r="E76" s="31"/>
      <c r="F76" s="31"/>
      <c r="G76" s="31"/>
      <c r="H76" s="31"/>
      <c r="I76" s="31"/>
      <c r="J76" s="31"/>
    </row>
    <row r="77" spans="1:10" x14ac:dyDescent="0.15">
      <c r="A77" s="31"/>
      <c r="B77" s="31"/>
      <c r="C77" s="31"/>
      <c r="D77" s="31"/>
      <c r="E77" s="31"/>
      <c r="F77" s="31"/>
      <c r="G77" s="31"/>
      <c r="H77" s="31"/>
      <c r="I77" s="31"/>
      <c r="J77" s="31"/>
    </row>
    <row r="78" spans="1:10" x14ac:dyDescent="0.15">
      <c r="A78" s="31"/>
      <c r="B78" s="31"/>
      <c r="C78" s="31"/>
      <c r="D78" s="31"/>
      <c r="E78" s="31"/>
      <c r="F78" s="31"/>
      <c r="G78" s="31"/>
      <c r="H78" s="31"/>
      <c r="I78" s="31"/>
      <c r="J78" s="31"/>
    </row>
    <row r="79" spans="1:10" x14ac:dyDescent="0.15">
      <c r="A79" s="31"/>
      <c r="B79" s="31"/>
      <c r="C79" s="31"/>
      <c r="D79" s="31"/>
      <c r="E79" s="31"/>
      <c r="F79" s="31"/>
      <c r="G79" s="31"/>
      <c r="H79" s="31"/>
      <c r="I79" s="31"/>
      <c r="J79" s="31"/>
    </row>
    <row r="80" spans="1:10" x14ac:dyDescent="0.15">
      <c r="A80" s="31"/>
      <c r="B80" s="31"/>
      <c r="C80" s="31"/>
      <c r="D80" s="31"/>
      <c r="E80" s="31"/>
      <c r="F80" s="31"/>
      <c r="G80" s="31"/>
      <c r="H80" s="31"/>
      <c r="I80" s="31"/>
      <c r="J80" s="31"/>
    </row>
    <row r="81" spans="1:10" x14ac:dyDescent="0.15">
      <c r="A81" s="31"/>
      <c r="B81" s="31"/>
      <c r="C81" s="31"/>
      <c r="D81" s="31"/>
      <c r="E81" s="31"/>
      <c r="F81" s="31"/>
      <c r="G81" s="31"/>
      <c r="H81" s="31"/>
      <c r="I81" s="31"/>
      <c r="J81" s="31"/>
    </row>
    <row r="82" spans="1:10" x14ac:dyDescent="0.15">
      <c r="A82" s="31"/>
      <c r="B82" s="31"/>
      <c r="C82" s="31"/>
      <c r="D82" s="31"/>
      <c r="E82" s="31"/>
      <c r="F82" s="31"/>
      <c r="G82" s="31"/>
      <c r="H82" s="31"/>
      <c r="I82" s="31"/>
      <c r="J82" s="31"/>
    </row>
    <row r="83" spans="1:10" x14ac:dyDescent="0.15">
      <c r="A83" s="31"/>
      <c r="B83" s="31"/>
      <c r="C83" s="31"/>
      <c r="D83" s="31"/>
      <c r="E83" s="31"/>
      <c r="F83" s="31"/>
      <c r="G83" s="31"/>
      <c r="H83" s="31"/>
      <c r="I83" s="31"/>
      <c r="J83" s="31"/>
    </row>
    <row r="84" spans="1:10" x14ac:dyDescent="0.15">
      <c r="A84" s="31"/>
      <c r="B84" s="31"/>
      <c r="C84" s="31"/>
      <c r="D84" s="31"/>
      <c r="E84" s="31"/>
      <c r="F84" s="31"/>
      <c r="G84" s="31"/>
      <c r="H84" s="31"/>
      <c r="I84" s="31"/>
      <c r="J84" s="31"/>
    </row>
    <row r="85" spans="1:10" x14ac:dyDescent="0.15">
      <c r="A85" s="31"/>
      <c r="B85" s="31"/>
      <c r="C85" s="31"/>
      <c r="D85" s="31"/>
      <c r="E85" s="31"/>
      <c r="F85" s="31"/>
      <c r="G85" s="31"/>
      <c r="H85" s="31"/>
      <c r="I85" s="31"/>
      <c r="J85" s="31"/>
    </row>
    <row r="86" spans="1:10" x14ac:dyDescent="0.15">
      <c r="A86" s="31"/>
      <c r="B86" s="31"/>
      <c r="C86" s="31"/>
      <c r="D86" s="31"/>
      <c r="E86" s="31"/>
      <c r="F86" s="31"/>
      <c r="G86" s="31"/>
      <c r="H86" s="31"/>
      <c r="I86" s="31"/>
      <c r="J86" s="31"/>
    </row>
    <row r="87" spans="1:10" x14ac:dyDescent="0.15">
      <c r="A87" s="31"/>
      <c r="B87" s="31"/>
      <c r="C87" s="31"/>
      <c r="D87" s="31"/>
      <c r="E87" s="31"/>
      <c r="F87" s="31"/>
      <c r="G87" s="31"/>
      <c r="H87" s="31"/>
      <c r="I87" s="31"/>
      <c r="J87" s="31"/>
    </row>
    <row r="88" spans="1:10" x14ac:dyDescent="0.15">
      <c r="A88" s="31"/>
      <c r="B88" s="31"/>
      <c r="C88" s="31"/>
      <c r="D88" s="31"/>
      <c r="E88" s="31"/>
      <c r="F88" s="31"/>
      <c r="G88" s="31"/>
      <c r="H88" s="31"/>
      <c r="I88" s="31"/>
      <c r="J88" s="31"/>
    </row>
    <row r="89" spans="1:10" x14ac:dyDescent="0.15">
      <c r="A89" s="31"/>
      <c r="B89" s="31"/>
      <c r="C89" s="31"/>
      <c r="D89" s="31"/>
      <c r="E89" s="31"/>
      <c r="F89" s="31"/>
      <c r="G89" s="31"/>
      <c r="H89" s="31"/>
      <c r="I89" s="31"/>
      <c r="J89" s="31"/>
    </row>
    <row r="90" spans="1:10" x14ac:dyDescent="0.15">
      <c r="A90" s="31"/>
      <c r="B90" s="31"/>
      <c r="C90" s="31"/>
      <c r="D90" s="31"/>
      <c r="E90" s="31"/>
      <c r="F90" s="31"/>
      <c r="G90" s="31"/>
      <c r="H90" s="31"/>
      <c r="I90" s="31"/>
      <c r="J90" s="31"/>
    </row>
    <row r="91" spans="1:10" x14ac:dyDescent="0.15">
      <c r="A91" s="31"/>
      <c r="B91" s="31"/>
      <c r="C91" s="31"/>
      <c r="D91" s="31"/>
      <c r="E91" s="31"/>
      <c r="F91" s="31"/>
      <c r="G91" s="31"/>
      <c r="H91" s="31"/>
      <c r="I91" s="31"/>
      <c r="J91" s="31"/>
    </row>
    <row r="92" spans="1:10" x14ac:dyDescent="0.15">
      <c r="A92" s="31"/>
      <c r="B92" s="31"/>
      <c r="C92" s="31"/>
      <c r="D92" s="31"/>
      <c r="E92" s="31"/>
      <c r="F92" s="31"/>
      <c r="G92" s="31"/>
      <c r="H92" s="31"/>
      <c r="I92" s="31"/>
      <c r="J92" s="31"/>
    </row>
    <row r="93" spans="1:10" x14ac:dyDescent="0.15">
      <c r="A93" s="31"/>
      <c r="B93" s="31"/>
      <c r="C93" s="31"/>
      <c r="D93" s="31"/>
      <c r="E93" s="31"/>
      <c r="F93" s="31"/>
      <c r="G93" s="31"/>
      <c r="H93" s="31"/>
      <c r="I93" s="31"/>
      <c r="J93" s="31"/>
    </row>
    <row r="94" spans="1:10" x14ac:dyDescent="0.15">
      <c r="A94" s="31"/>
      <c r="B94" s="31"/>
      <c r="C94" s="31"/>
      <c r="D94" s="31"/>
      <c r="E94" s="31"/>
      <c r="F94" s="31"/>
      <c r="G94" s="31"/>
      <c r="H94" s="31"/>
      <c r="I94" s="31"/>
      <c r="J94" s="31"/>
    </row>
    <row r="95" spans="1:10" x14ac:dyDescent="0.15">
      <c r="A95" s="31"/>
      <c r="B95" s="31"/>
      <c r="C95" s="31"/>
      <c r="D95" s="31"/>
      <c r="E95" s="31"/>
      <c r="F95" s="31"/>
      <c r="G95" s="31"/>
      <c r="H95" s="31"/>
      <c r="I95" s="31"/>
      <c r="J95" s="31"/>
    </row>
    <row r="96" spans="1:10" x14ac:dyDescent="0.15">
      <c r="A96" s="31"/>
      <c r="B96" s="31"/>
      <c r="C96" s="31"/>
      <c r="D96" s="31"/>
      <c r="E96" s="31"/>
      <c r="F96" s="31"/>
      <c r="G96" s="31"/>
      <c r="H96" s="31"/>
      <c r="I96" s="31"/>
      <c r="J96" s="31"/>
    </row>
    <row r="97" spans="1:10" x14ac:dyDescent="0.15">
      <c r="A97" s="31"/>
      <c r="B97" s="31"/>
      <c r="C97" s="31"/>
      <c r="D97" s="31"/>
      <c r="E97" s="31"/>
      <c r="F97" s="31"/>
      <c r="G97" s="31"/>
      <c r="H97" s="31"/>
      <c r="I97" s="31"/>
      <c r="J97" s="31"/>
    </row>
    <row r="98" spans="1:10" x14ac:dyDescent="0.15">
      <c r="A98" s="31"/>
      <c r="B98" s="31"/>
      <c r="C98" s="31"/>
      <c r="D98" s="31"/>
      <c r="E98" s="31"/>
      <c r="F98" s="31"/>
      <c r="G98" s="31"/>
      <c r="H98" s="31"/>
      <c r="I98" s="31"/>
      <c r="J98" s="31"/>
    </row>
    <row r="99" spans="1:10" x14ac:dyDescent="0.15">
      <c r="A99" s="31"/>
      <c r="B99" s="31"/>
      <c r="C99" s="31"/>
      <c r="D99" s="31"/>
      <c r="E99" s="31"/>
      <c r="F99" s="31"/>
      <c r="G99" s="31"/>
      <c r="H99" s="31"/>
      <c r="I99" s="31"/>
      <c r="J99" s="31"/>
    </row>
    <row r="100" spans="1:10" x14ac:dyDescent="0.15">
      <c r="A100" s="31"/>
      <c r="B100" s="31"/>
      <c r="C100" s="31"/>
      <c r="D100" s="31"/>
      <c r="E100" s="31"/>
      <c r="F100" s="31"/>
      <c r="G100" s="31"/>
      <c r="H100" s="31"/>
      <c r="I100" s="31"/>
      <c r="J100" s="31"/>
    </row>
    <row r="101" spans="1:10" x14ac:dyDescent="0.15">
      <c r="A101" s="31"/>
      <c r="B101" s="31"/>
      <c r="C101" s="31"/>
      <c r="D101" s="31"/>
      <c r="E101" s="31"/>
      <c r="F101" s="31"/>
      <c r="G101" s="31"/>
      <c r="H101" s="31"/>
      <c r="I101" s="31"/>
      <c r="J101" s="31"/>
    </row>
    <row r="102" spans="1:10" x14ac:dyDescent="0.15">
      <c r="A102" s="31"/>
      <c r="B102" s="31"/>
      <c r="C102" s="31"/>
      <c r="D102" s="31"/>
      <c r="E102" s="31"/>
      <c r="F102" s="31"/>
      <c r="G102" s="31"/>
      <c r="H102" s="31"/>
      <c r="I102" s="31"/>
      <c r="J102" s="31"/>
    </row>
    <row r="103" spans="1:10" x14ac:dyDescent="0.15">
      <c r="A103" s="31"/>
      <c r="B103" s="31"/>
      <c r="C103" s="31"/>
      <c r="D103" s="31"/>
      <c r="E103" s="31"/>
      <c r="F103" s="31"/>
      <c r="G103" s="31"/>
      <c r="H103" s="31"/>
      <c r="I103" s="31"/>
      <c r="J103" s="31"/>
    </row>
    <row r="104" spans="1:10" x14ac:dyDescent="0.15">
      <c r="A104" s="31"/>
      <c r="B104" s="31"/>
      <c r="C104" s="31"/>
      <c r="D104" s="31"/>
      <c r="E104" s="31"/>
      <c r="F104" s="31"/>
      <c r="G104" s="31"/>
      <c r="H104" s="31"/>
      <c r="I104" s="31"/>
      <c r="J104" s="31"/>
    </row>
    <row r="105" spans="1:10" x14ac:dyDescent="0.15">
      <c r="A105" s="31"/>
      <c r="B105" s="31"/>
      <c r="C105" s="31"/>
      <c r="D105" s="31"/>
      <c r="E105" s="31"/>
      <c r="F105" s="31"/>
      <c r="G105" s="31"/>
      <c r="H105" s="31"/>
      <c r="I105" s="31"/>
      <c r="J105" s="31"/>
    </row>
    <row r="106" spans="1:10" x14ac:dyDescent="0.15">
      <c r="A106" s="31"/>
      <c r="B106" s="31"/>
      <c r="C106" s="31"/>
      <c r="D106" s="31"/>
      <c r="E106" s="31"/>
      <c r="F106" s="31"/>
      <c r="G106" s="31"/>
      <c r="H106" s="31"/>
      <c r="I106" s="31"/>
      <c r="J106" s="31"/>
    </row>
    <row r="107" spans="1:10" x14ac:dyDescent="0.15">
      <c r="A107" s="31"/>
      <c r="B107" s="31"/>
      <c r="C107" s="31"/>
      <c r="D107" s="31"/>
      <c r="E107" s="31"/>
      <c r="F107" s="31"/>
      <c r="G107" s="31"/>
      <c r="H107" s="31"/>
      <c r="I107" s="31"/>
      <c r="J107" s="31"/>
    </row>
    <row r="108" spans="1:10" x14ac:dyDescent="0.15">
      <c r="A108" s="31"/>
      <c r="B108" s="31"/>
      <c r="C108" s="31"/>
      <c r="D108" s="31"/>
      <c r="E108" s="31"/>
      <c r="F108" s="31"/>
      <c r="G108" s="31"/>
      <c r="H108" s="31"/>
      <c r="I108" s="31"/>
      <c r="J108" s="31"/>
    </row>
    <row r="109" spans="1:10" x14ac:dyDescent="0.15">
      <c r="A109" s="31"/>
      <c r="B109" s="31"/>
      <c r="C109" s="31"/>
      <c r="D109" s="31"/>
      <c r="E109" s="31"/>
      <c r="F109" s="31"/>
      <c r="G109" s="31"/>
      <c r="H109" s="31"/>
      <c r="I109" s="31"/>
      <c r="J109" s="31"/>
    </row>
    <row r="110" spans="1:10" x14ac:dyDescent="0.15">
      <c r="A110" s="31"/>
      <c r="B110" s="31"/>
      <c r="C110" s="31"/>
      <c r="D110" s="31"/>
      <c r="E110" s="31"/>
      <c r="F110" s="31"/>
      <c r="G110" s="31"/>
      <c r="H110" s="31"/>
      <c r="I110" s="31"/>
      <c r="J110" s="31"/>
    </row>
    <row r="111" spans="1:10" x14ac:dyDescent="0.15">
      <c r="A111" s="31"/>
      <c r="B111" s="31"/>
      <c r="C111" s="31"/>
      <c r="D111" s="31"/>
      <c r="E111" s="31"/>
      <c r="F111" s="31"/>
      <c r="G111" s="31"/>
      <c r="H111" s="31"/>
      <c r="I111" s="31"/>
      <c r="J111" s="31"/>
    </row>
    <row r="112" spans="1:10" x14ac:dyDescent="0.15">
      <c r="A112" s="31"/>
      <c r="B112" s="31"/>
      <c r="C112" s="31"/>
      <c r="D112" s="31"/>
      <c r="E112" s="31"/>
      <c r="F112" s="31"/>
      <c r="G112" s="31"/>
      <c r="H112" s="31"/>
      <c r="I112" s="31"/>
      <c r="J112" s="31"/>
    </row>
    <row r="113" spans="1:10" x14ac:dyDescent="0.15">
      <c r="A113" s="31"/>
      <c r="B113" s="31"/>
      <c r="C113" s="31"/>
      <c r="D113" s="31"/>
      <c r="E113" s="31"/>
      <c r="F113" s="31"/>
      <c r="G113" s="31"/>
      <c r="H113" s="31"/>
      <c r="I113" s="31"/>
      <c r="J113" s="31"/>
    </row>
    <row r="114" spans="1:10" x14ac:dyDescent="0.15">
      <c r="A114" s="31"/>
      <c r="B114" s="31"/>
      <c r="C114" s="31"/>
      <c r="D114" s="31"/>
      <c r="E114" s="31"/>
      <c r="F114" s="31"/>
      <c r="G114" s="31"/>
      <c r="H114" s="31"/>
      <c r="I114" s="31"/>
      <c r="J114" s="31"/>
    </row>
    <row r="115" spans="1:10" x14ac:dyDescent="0.15">
      <c r="A115" s="31"/>
      <c r="B115" s="31"/>
      <c r="C115" s="31"/>
      <c r="D115" s="31"/>
      <c r="E115" s="31"/>
      <c r="F115" s="31"/>
      <c r="G115" s="31"/>
      <c r="H115" s="31"/>
      <c r="I115" s="31"/>
      <c r="J115" s="31"/>
    </row>
    <row r="116" spans="1:10" x14ac:dyDescent="0.15">
      <c r="A116" s="31"/>
      <c r="B116" s="31"/>
      <c r="C116" s="31"/>
      <c r="D116" s="31"/>
      <c r="E116" s="31"/>
      <c r="F116" s="31"/>
      <c r="G116" s="31"/>
      <c r="H116" s="31"/>
      <c r="I116" s="31"/>
      <c r="J116" s="31"/>
    </row>
    <row r="117" spans="1:10" x14ac:dyDescent="0.15">
      <c r="A117" s="31"/>
      <c r="B117" s="31"/>
      <c r="C117" s="31"/>
      <c r="D117" s="31"/>
      <c r="E117" s="31"/>
      <c r="F117" s="31"/>
      <c r="G117" s="31"/>
      <c r="H117" s="31"/>
      <c r="I117" s="31"/>
      <c r="J117" s="31"/>
    </row>
    <row r="118" spans="1:10" x14ac:dyDescent="0.15">
      <c r="A118" s="31"/>
      <c r="B118" s="31"/>
      <c r="C118" s="31"/>
      <c r="D118" s="31"/>
      <c r="E118" s="31"/>
      <c r="F118" s="31"/>
      <c r="G118" s="31"/>
      <c r="H118" s="31"/>
      <c r="I118" s="31"/>
      <c r="J118" s="31"/>
    </row>
    <row r="119" spans="1:10" x14ac:dyDescent="0.15">
      <c r="A119" s="31"/>
      <c r="B119" s="31"/>
      <c r="C119" s="31"/>
      <c r="D119" s="31"/>
      <c r="E119" s="31"/>
      <c r="F119" s="31"/>
      <c r="G119" s="31"/>
      <c r="H119" s="31"/>
      <c r="I119" s="31"/>
      <c r="J119" s="31"/>
    </row>
    <row r="120" spans="1:10" x14ac:dyDescent="0.15">
      <c r="A120" s="31"/>
      <c r="B120" s="31"/>
      <c r="C120" s="31"/>
      <c r="D120" s="31"/>
      <c r="E120" s="31"/>
      <c r="F120" s="31"/>
      <c r="G120" s="31"/>
      <c r="H120" s="31"/>
      <c r="I120" s="31"/>
      <c r="J120" s="31"/>
    </row>
    <row r="121" spans="1:10" x14ac:dyDescent="0.15">
      <c r="A121" s="31"/>
      <c r="B121" s="31"/>
      <c r="C121" s="31"/>
      <c r="D121" s="31"/>
      <c r="E121" s="31"/>
      <c r="F121" s="31"/>
      <c r="G121" s="31"/>
      <c r="H121" s="31"/>
      <c r="I121" s="31"/>
      <c r="J121" s="31"/>
    </row>
    <row r="122" spans="1:10" x14ac:dyDescent="0.15">
      <c r="A122" s="31"/>
      <c r="B122" s="31"/>
      <c r="C122" s="31"/>
      <c r="D122" s="31"/>
      <c r="E122" s="31"/>
      <c r="F122" s="31"/>
      <c r="G122" s="31"/>
      <c r="H122" s="31"/>
      <c r="I122" s="31"/>
      <c r="J122" s="31"/>
    </row>
    <row r="123" spans="1:10" x14ac:dyDescent="0.15">
      <c r="A123" s="31"/>
      <c r="B123" s="31"/>
      <c r="C123" s="31"/>
      <c r="D123" s="31"/>
      <c r="E123" s="31"/>
      <c r="F123" s="31"/>
      <c r="G123" s="31"/>
      <c r="H123" s="31"/>
      <c r="I123" s="31"/>
      <c r="J123" s="31"/>
    </row>
    <row r="124" spans="1:10" x14ac:dyDescent="0.15">
      <c r="A124" s="31"/>
      <c r="B124" s="31"/>
      <c r="C124" s="31"/>
      <c r="D124" s="31"/>
      <c r="E124" s="31"/>
      <c r="F124" s="31"/>
      <c r="G124" s="31"/>
      <c r="H124" s="31"/>
      <c r="I124" s="31"/>
      <c r="J124" s="31"/>
    </row>
    <row r="125" spans="1:10" x14ac:dyDescent="0.15">
      <c r="A125" s="31"/>
      <c r="B125" s="31"/>
      <c r="C125" s="31"/>
      <c r="D125" s="31"/>
      <c r="E125" s="31"/>
      <c r="F125" s="31"/>
      <c r="G125" s="31"/>
      <c r="H125" s="31"/>
      <c r="I125" s="31"/>
      <c r="J125" s="31"/>
    </row>
    <row r="126" spans="1:10" x14ac:dyDescent="0.15">
      <c r="A126" s="31"/>
      <c r="B126" s="31"/>
      <c r="C126" s="31"/>
      <c r="D126" s="31"/>
      <c r="E126" s="31"/>
      <c r="F126" s="31"/>
      <c r="G126" s="31"/>
      <c r="H126" s="31"/>
      <c r="I126" s="31"/>
      <c r="J126" s="31"/>
    </row>
    <row r="127" spans="1:10" x14ac:dyDescent="0.15">
      <c r="A127" s="31"/>
      <c r="B127" s="31"/>
      <c r="C127" s="31"/>
      <c r="D127" s="31"/>
      <c r="E127" s="31"/>
      <c r="F127" s="31"/>
      <c r="G127" s="31"/>
      <c r="H127" s="31"/>
      <c r="I127" s="31"/>
      <c r="J127" s="31"/>
    </row>
    <row r="128" spans="1:10" x14ac:dyDescent="0.15">
      <c r="A128" s="31"/>
      <c r="B128" s="31"/>
      <c r="C128" s="31"/>
      <c r="D128" s="31"/>
      <c r="E128" s="31"/>
      <c r="F128" s="31"/>
      <c r="G128" s="31"/>
      <c r="H128" s="31"/>
      <c r="I128" s="31"/>
      <c r="J128" s="31"/>
    </row>
    <row r="129" spans="1:10" x14ac:dyDescent="0.15">
      <c r="A129" s="31"/>
      <c r="B129" s="31"/>
      <c r="C129" s="31"/>
      <c r="D129" s="31"/>
      <c r="E129" s="31"/>
      <c r="F129" s="31"/>
      <c r="G129" s="31"/>
      <c r="H129" s="31"/>
      <c r="I129" s="31"/>
      <c r="J129" s="31"/>
    </row>
    <row r="130" spans="1:10" x14ac:dyDescent="0.15">
      <c r="A130" s="31"/>
      <c r="B130" s="31"/>
      <c r="C130" s="31"/>
      <c r="D130" s="31"/>
      <c r="E130" s="31"/>
      <c r="F130" s="31"/>
      <c r="G130" s="31"/>
      <c r="H130" s="31"/>
      <c r="I130" s="31"/>
      <c r="J130" s="31"/>
    </row>
    <row r="131" spans="1:10" x14ac:dyDescent="0.15">
      <c r="A131" s="31"/>
      <c r="B131" s="31"/>
      <c r="C131" s="31"/>
      <c r="D131" s="31"/>
      <c r="E131" s="31"/>
      <c r="F131" s="31"/>
      <c r="G131" s="31"/>
      <c r="H131" s="31"/>
      <c r="I131" s="31"/>
      <c r="J131" s="31"/>
    </row>
    <row r="132" spans="1:10" x14ac:dyDescent="0.15">
      <c r="A132" s="31"/>
      <c r="B132" s="31"/>
      <c r="C132" s="31"/>
      <c r="D132" s="31"/>
      <c r="E132" s="31"/>
      <c r="F132" s="31"/>
      <c r="G132" s="31"/>
      <c r="H132" s="31"/>
      <c r="I132" s="31"/>
      <c r="J132" s="31"/>
    </row>
    <row r="133" spans="1:10" x14ac:dyDescent="0.15">
      <c r="A133" s="31"/>
      <c r="B133" s="31"/>
      <c r="C133" s="31"/>
      <c r="D133" s="31"/>
      <c r="E133" s="31"/>
      <c r="F133" s="31"/>
      <c r="G133" s="31"/>
      <c r="H133" s="31"/>
      <c r="I133" s="31"/>
      <c r="J133" s="31"/>
    </row>
    <row r="134" spans="1:10" x14ac:dyDescent="0.15">
      <c r="A134" s="31"/>
      <c r="B134" s="31"/>
      <c r="C134" s="31"/>
      <c r="D134" s="31"/>
      <c r="E134" s="31"/>
      <c r="F134" s="31"/>
      <c r="G134" s="31"/>
      <c r="H134" s="31"/>
      <c r="I134" s="31"/>
      <c r="J134" s="31"/>
    </row>
    <row r="135" spans="1:10" x14ac:dyDescent="0.15">
      <c r="A135" s="31"/>
      <c r="B135" s="31"/>
      <c r="C135" s="31"/>
      <c r="D135" s="31"/>
      <c r="E135" s="31"/>
      <c r="F135" s="31"/>
      <c r="G135" s="31"/>
      <c r="H135" s="31"/>
      <c r="I135" s="31"/>
      <c r="J135" s="31"/>
    </row>
    <row r="136" spans="1:10" x14ac:dyDescent="0.15">
      <c r="A136" s="31"/>
      <c r="B136" s="31"/>
      <c r="C136" s="31"/>
      <c r="D136" s="31"/>
      <c r="E136" s="31"/>
      <c r="F136" s="31"/>
      <c r="G136" s="31"/>
      <c r="H136" s="31"/>
      <c r="I136" s="31"/>
      <c r="J136" s="31"/>
    </row>
    <row r="137" spans="1:10" x14ac:dyDescent="0.15">
      <c r="A137" s="31"/>
      <c r="B137" s="31"/>
      <c r="C137" s="31"/>
      <c r="D137" s="31"/>
      <c r="E137" s="31"/>
      <c r="F137" s="31"/>
      <c r="G137" s="31"/>
      <c r="H137" s="31"/>
      <c r="I137" s="31"/>
      <c r="J137" s="31"/>
    </row>
    <row r="138" spans="1:10" x14ac:dyDescent="0.15">
      <c r="A138" s="31"/>
      <c r="B138" s="31"/>
      <c r="C138" s="31"/>
      <c r="D138" s="31"/>
      <c r="E138" s="31"/>
      <c r="F138" s="31"/>
      <c r="G138" s="31"/>
      <c r="H138" s="31"/>
      <c r="I138" s="31"/>
      <c r="J138" s="31"/>
    </row>
    <row r="139" spans="1:10" x14ac:dyDescent="0.15">
      <c r="A139" s="31"/>
      <c r="B139" s="31"/>
      <c r="C139" s="31"/>
      <c r="D139" s="31"/>
      <c r="E139" s="31"/>
      <c r="F139" s="31"/>
      <c r="G139" s="31"/>
      <c r="H139" s="31"/>
      <c r="I139" s="31"/>
      <c r="J139" s="31"/>
    </row>
    <row r="140" spans="1:10" x14ac:dyDescent="0.15">
      <c r="A140" s="31"/>
      <c r="B140" s="31"/>
      <c r="C140" s="31"/>
      <c r="D140" s="31"/>
      <c r="E140" s="31"/>
      <c r="F140" s="31"/>
      <c r="G140" s="31"/>
      <c r="H140" s="31"/>
      <c r="I140" s="31"/>
      <c r="J140" s="31"/>
    </row>
    <row r="141" spans="1:10" x14ac:dyDescent="0.15">
      <c r="A141" s="31"/>
      <c r="B141" s="31"/>
      <c r="C141" s="31"/>
      <c r="D141" s="31"/>
      <c r="E141" s="31"/>
      <c r="F141" s="31"/>
      <c r="G141" s="31"/>
      <c r="H141" s="31"/>
      <c r="I141" s="31"/>
      <c r="J141" s="31"/>
    </row>
    <row r="142" spans="1:10" x14ac:dyDescent="0.15">
      <c r="A142" s="31"/>
      <c r="B142" s="31"/>
      <c r="C142" s="31"/>
      <c r="D142" s="31"/>
      <c r="E142" s="31"/>
      <c r="F142" s="31"/>
      <c r="G142" s="31"/>
      <c r="H142" s="31"/>
      <c r="I142" s="31"/>
      <c r="J142" s="31"/>
    </row>
    <row r="143" spans="1:10" x14ac:dyDescent="0.15">
      <c r="A143" s="31"/>
      <c r="B143" s="31"/>
      <c r="C143" s="31"/>
      <c r="D143" s="31"/>
      <c r="E143" s="31"/>
      <c r="F143" s="31"/>
      <c r="G143" s="31"/>
      <c r="H143" s="31"/>
      <c r="I143" s="31"/>
      <c r="J143" s="31"/>
    </row>
    <row r="144" spans="1:10" x14ac:dyDescent="0.15">
      <c r="A144" s="31"/>
      <c r="B144" s="31"/>
      <c r="C144" s="31"/>
      <c r="D144" s="31"/>
      <c r="E144" s="31"/>
      <c r="F144" s="31"/>
      <c r="G144" s="31"/>
      <c r="H144" s="31"/>
      <c r="I144" s="31"/>
      <c r="J144" s="31"/>
    </row>
    <row r="145" spans="1:10" x14ac:dyDescent="0.15">
      <c r="A145" s="31"/>
      <c r="B145" s="31"/>
      <c r="C145" s="31"/>
      <c r="D145" s="31"/>
      <c r="E145" s="31"/>
      <c r="F145" s="31"/>
      <c r="G145" s="31"/>
      <c r="H145" s="31"/>
      <c r="I145" s="31"/>
      <c r="J145" s="31"/>
    </row>
    <row r="146" spans="1:10" x14ac:dyDescent="0.15">
      <c r="A146" s="31"/>
      <c r="B146" s="31"/>
      <c r="C146" s="31"/>
      <c r="D146" s="31"/>
      <c r="E146" s="31"/>
      <c r="F146" s="31"/>
      <c r="G146" s="31"/>
      <c r="H146" s="31"/>
      <c r="I146" s="31"/>
      <c r="J146" s="31"/>
    </row>
    <row r="147" spans="1:10" x14ac:dyDescent="0.15">
      <c r="A147" s="31"/>
      <c r="B147" s="31"/>
      <c r="C147" s="31"/>
      <c r="D147" s="31"/>
      <c r="E147" s="31"/>
      <c r="F147" s="31"/>
      <c r="G147" s="31"/>
      <c r="H147" s="31"/>
      <c r="I147" s="31"/>
      <c r="J147" s="31"/>
    </row>
    <row r="148" spans="1:10" x14ac:dyDescent="0.15">
      <c r="A148" s="31"/>
      <c r="B148" s="31"/>
      <c r="C148" s="31"/>
      <c r="D148" s="31"/>
      <c r="E148" s="31"/>
      <c r="F148" s="31"/>
      <c r="G148" s="31"/>
      <c r="H148" s="31"/>
      <c r="I148" s="31"/>
      <c r="J148" s="31"/>
    </row>
    <row r="149" spans="1:10" x14ac:dyDescent="0.15">
      <c r="A149" s="31"/>
      <c r="B149" s="31"/>
      <c r="C149" s="31"/>
      <c r="D149" s="31"/>
      <c r="E149" s="31"/>
      <c r="F149" s="31"/>
      <c r="G149" s="31"/>
      <c r="H149" s="31"/>
      <c r="I149" s="31"/>
      <c r="J149" s="31"/>
    </row>
    <row r="150" spans="1:10" x14ac:dyDescent="0.15">
      <c r="A150" s="31"/>
      <c r="B150" s="31"/>
      <c r="C150" s="31"/>
      <c r="D150" s="31"/>
      <c r="E150" s="31"/>
      <c r="F150" s="31"/>
      <c r="G150" s="31"/>
      <c r="H150" s="31"/>
      <c r="I150" s="31"/>
      <c r="J150" s="31"/>
    </row>
    <row r="151" spans="1:10" x14ac:dyDescent="0.15">
      <c r="A151" s="31"/>
      <c r="B151" s="31"/>
      <c r="C151" s="31"/>
      <c r="D151" s="31"/>
      <c r="E151" s="31"/>
      <c r="F151" s="31"/>
      <c r="G151" s="31"/>
      <c r="H151" s="31"/>
      <c r="I151" s="31"/>
      <c r="J151" s="31"/>
    </row>
    <row r="152" spans="1:10" x14ac:dyDescent="0.15">
      <c r="A152" s="31"/>
      <c r="B152" s="31"/>
      <c r="C152" s="31"/>
      <c r="D152" s="31"/>
      <c r="E152" s="31"/>
      <c r="F152" s="31"/>
      <c r="G152" s="31"/>
      <c r="H152" s="31"/>
      <c r="I152" s="31"/>
      <c r="J152" s="31"/>
    </row>
    <row r="153" spans="1:10" x14ac:dyDescent="0.15">
      <c r="A153" s="31"/>
      <c r="B153" s="31"/>
      <c r="C153" s="31"/>
      <c r="D153" s="31"/>
      <c r="E153" s="31"/>
      <c r="F153" s="31"/>
      <c r="G153" s="31"/>
      <c r="H153" s="31"/>
      <c r="I153" s="31"/>
      <c r="J153" s="31"/>
    </row>
    <row r="154" spans="1:10" x14ac:dyDescent="0.15">
      <c r="A154" s="31"/>
      <c r="B154" s="31"/>
      <c r="C154" s="31"/>
      <c r="D154" s="31"/>
      <c r="E154" s="31"/>
      <c r="F154" s="31"/>
      <c r="G154" s="31"/>
      <c r="H154" s="31"/>
      <c r="I154" s="31"/>
      <c r="J154" s="31"/>
    </row>
    <row r="155" spans="1:10" x14ac:dyDescent="0.15">
      <c r="A155" s="31"/>
      <c r="B155" s="31"/>
      <c r="C155" s="31"/>
      <c r="D155" s="31"/>
      <c r="E155" s="31"/>
      <c r="F155" s="31"/>
      <c r="G155" s="31"/>
      <c r="H155" s="31"/>
      <c r="I155" s="31"/>
      <c r="J155" s="31"/>
    </row>
    <row r="156" spans="1:10" x14ac:dyDescent="0.15">
      <c r="A156" s="31"/>
      <c r="B156" s="31"/>
      <c r="C156" s="31"/>
      <c r="D156" s="31"/>
      <c r="E156" s="31"/>
      <c r="F156" s="31"/>
      <c r="G156" s="31"/>
      <c r="H156" s="31"/>
      <c r="I156" s="31"/>
      <c r="J156" s="31"/>
    </row>
    <row r="157" spans="1:10" x14ac:dyDescent="0.15">
      <c r="A157" s="31"/>
      <c r="B157" s="31"/>
      <c r="C157" s="31"/>
      <c r="D157" s="31"/>
      <c r="E157" s="31"/>
      <c r="F157" s="31"/>
      <c r="G157" s="31"/>
      <c r="H157" s="31"/>
      <c r="I157" s="31"/>
      <c r="J157" s="31"/>
    </row>
    <row r="158" spans="1:10" x14ac:dyDescent="0.15">
      <c r="A158" s="31"/>
      <c r="B158" s="31"/>
      <c r="C158" s="31"/>
      <c r="D158" s="31"/>
      <c r="E158" s="31"/>
      <c r="F158" s="31"/>
      <c r="G158" s="31"/>
      <c r="H158" s="31"/>
      <c r="I158" s="31"/>
      <c r="J158" s="31"/>
    </row>
    <row r="159" spans="1:10" x14ac:dyDescent="0.15">
      <c r="A159" s="31"/>
      <c r="B159" s="31"/>
      <c r="C159" s="31"/>
      <c r="D159" s="31"/>
      <c r="E159" s="31"/>
      <c r="F159" s="31"/>
      <c r="G159" s="31"/>
      <c r="H159" s="31"/>
      <c r="I159" s="31"/>
      <c r="J159" s="31"/>
    </row>
    <row r="160" spans="1:10" x14ac:dyDescent="0.15">
      <c r="A160" s="31"/>
      <c r="B160" s="31"/>
      <c r="C160" s="31"/>
      <c r="D160" s="31"/>
      <c r="E160" s="31"/>
      <c r="F160" s="31"/>
      <c r="G160" s="31"/>
      <c r="H160" s="31"/>
      <c r="I160" s="31"/>
      <c r="J160" s="31"/>
    </row>
    <row r="161" spans="1:10" x14ac:dyDescent="0.15">
      <c r="A161" s="31"/>
      <c r="B161" s="31"/>
      <c r="C161" s="31"/>
      <c r="D161" s="31"/>
      <c r="E161" s="31"/>
      <c r="F161" s="31"/>
      <c r="G161" s="31"/>
      <c r="H161" s="31"/>
      <c r="I161" s="31"/>
      <c r="J161" s="31"/>
    </row>
    <row r="162" spans="1:10" x14ac:dyDescent="0.15">
      <c r="A162" s="31"/>
      <c r="B162" s="31"/>
      <c r="C162" s="31"/>
      <c r="D162" s="31"/>
      <c r="E162" s="31"/>
      <c r="F162" s="31"/>
      <c r="G162" s="31"/>
      <c r="H162" s="31"/>
      <c r="I162" s="31"/>
      <c r="J162" s="31"/>
    </row>
    <row r="163" spans="1:10" x14ac:dyDescent="0.15">
      <c r="A163" s="31"/>
      <c r="B163" s="31"/>
      <c r="C163" s="31"/>
      <c r="D163" s="31"/>
      <c r="E163" s="31"/>
      <c r="F163" s="31"/>
      <c r="G163" s="31"/>
      <c r="H163" s="31"/>
      <c r="I163" s="31"/>
      <c r="J163" s="31"/>
    </row>
    <row r="164" spans="1:10" x14ac:dyDescent="0.15">
      <c r="A164" s="31"/>
      <c r="B164" s="31"/>
      <c r="C164" s="31"/>
      <c r="D164" s="31"/>
      <c r="E164" s="31"/>
      <c r="F164" s="31"/>
      <c r="G164" s="31"/>
      <c r="H164" s="31"/>
      <c r="I164" s="31"/>
      <c r="J164" s="31"/>
    </row>
    <row r="165" spans="1:10" x14ac:dyDescent="0.15">
      <c r="A165" s="31"/>
      <c r="B165" s="31"/>
      <c r="C165" s="31"/>
      <c r="D165" s="31"/>
      <c r="E165" s="31"/>
      <c r="F165" s="31"/>
      <c r="G165" s="31"/>
      <c r="H165" s="31"/>
      <c r="I165" s="31"/>
      <c r="J165" s="31"/>
    </row>
    <row r="166" spans="1:10" x14ac:dyDescent="0.15">
      <c r="A166" s="31"/>
      <c r="B166" s="31"/>
      <c r="C166" s="31"/>
      <c r="D166" s="31"/>
      <c r="E166" s="31"/>
      <c r="F166" s="31"/>
      <c r="G166" s="31"/>
      <c r="H166" s="31"/>
      <c r="I166" s="31"/>
      <c r="J166" s="31"/>
    </row>
    <row r="167" spans="1:10" x14ac:dyDescent="0.15">
      <c r="A167" s="31"/>
      <c r="B167" s="31"/>
      <c r="C167" s="31"/>
      <c r="D167" s="31"/>
      <c r="E167" s="31"/>
      <c r="F167" s="31"/>
      <c r="G167" s="31"/>
      <c r="H167" s="31"/>
      <c r="I167" s="31"/>
      <c r="J167" s="31"/>
    </row>
    <row r="168" spans="1:10" x14ac:dyDescent="0.15">
      <c r="A168" s="31"/>
      <c r="B168" s="31"/>
      <c r="C168" s="31"/>
      <c r="D168" s="31"/>
      <c r="E168" s="31"/>
      <c r="F168" s="31"/>
      <c r="G168" s="31"/>
      <c r="H168" s="31"/>
      <c r="I168" s="31"/>
      <c r="J168" s="31"/>
    </row>
    <row r="169" spans="1:10" x14ac:dyDescent="0.15">
      <c r="A169" s="31"/>
      <c r="B169" s="31"/>
      <c r="C169" s="31"/>
      <c r="D169" s="31"/>
      <c r="E169" s="31"/>
      <c r="F169" s="31"/>
      <c r="G169" s="31"/>
      <c r="H169" s="31"/>
      <c r="I169" s="31"/>
      <c r="J169" s="31"/>
    </row>
    <row r="170" spans="1:10" x14ac:dyDescent="0.15">
      <c r="A170" s="31"/>
      <c r="B170" s="31"/>
      <c r="C170" s="31"/>
      <c r="D170" s="31"/>
      <c r="E170" s="31"/>
      <c r="F170" s="31"/>
      <c r="G170" s="31"/>
      <c r="H170" s="31"/>
      <c r="I170" s="31"/>
      <c r="J170" s="31"/>
    </row>
    <row r="171" spans="1:10" x14ac:dyDescent="0.15">
      <c r="A171" s="31"/>
      <c r="B171" s="31"/>
      <c r="C171" s="31"/>
      <c r="D171" s="31"/>
      <c r="E171" s="31"/>
      <c r="F171" s="31"/>
      <c r="G171" s="31"/>
      <c r="H171" s="31"/>
      <c r="I171" s="31"/>
      <c r="J171" s="31"/>
    </row>
    <row r="172" spans="1:10" x14ac:dyDescent="0.15">
      <c r="A172" s="31"/>
      <c r="B172" s="31"/>
      <c r="C172" s="31"/>
      <c r="D172" s="31"/>
      <c r="E172" s="31"/>
      <c r="F172" s="31"/>
      <c r="G172" s="31"/>
      <c r="H172" s="31"/>
      <c r="I172" s="31"/>
      <c r="J172" s="31"/>
    </row>
    <row r="173" spans="1:10" x14ac:dyDescent="0.15">
      <c r="A173" s="31"/>
      <c r="B173" s="31"/>
      <c r="C173" s="31"/>
      <c r="D173" s="31"/>
      <c r="E173" s="31"/>
      <c r="F173" s="31"/>
      <c r="G173" s="31"/>
      <c r="H173" s="31"/>
      <c r="I173" s="31"/>
      <c r="J173" s="31"/>
    </row>
    <row r="174" spans="1:10" x14ac:dyDescent="0.15">
      <c r="A174" s="31"/>
      <c r="B174" s="31"/>
      <c r="C174" s="31"/>
      <c r="D174" s="31"/>
      <c r="E174" s="31"/>
      <c r="F174" s="31"/>
      <c r="G174" s="31"/>
      <c r="H174" s="31"/>
      <c r="I174" s="31"/>
      <c r="J174" s="31"/>
    </row>
    <row r="175" spans="1:10" x14ac:dyDescent="0.15">
      <c r="A175" s="31"/>
      <c r="B175" s="31"/>
      <c r="C175" s="31"/>
      <c r="D175" s="31"/>
      <c r="E175" s="31"/>
      <c r="F175" s="31"/>
      <c r="G175" s="31"/>
      <c r="H175" s="31"/>
      <c r="I175" s="31"/>
      <c r="J175" s="31"/>
    </row>
    <row r="176" spans="1:10" x14ac:dyDescent="0.15">
      <c r="A176" s="31"/>
      <c r="B176" s="31"/>
      <c r="C176" s="31"/>
      <c r="D176" s="31"/>
      <c r="E176" s="31"/>
      <c r="F176" s="31"/>
      <c r="G176" s="31"/>
      <c r="H176" s="31"/>
      <c r="I176" s="31"/>
      <c r="J176" s="31"/>
    </row>
    <row r="177" spans="1:10" x14ac:dyDescent="0.15">
      <c r="A177" s="31"/>
      <c r="B177" s="31"/>
      <c r="C177" s="31"/>
      <c r="D177" s="31"/>
      <c r="E177" s="31"/>
      <c r="F177" s="31"/>
      <c r="G177" s="31"/>
      <c r="H177" s="31"/>
      <c r="I177" s="31"/>
      <c r="J177" s="31"/>
    </row>
    <row r="178" spans="1:10" x14ac:dyDescent="0.15">
      <c r="A178" s="31"/>
      <c r="B178" s="31"/>
      <c r="C178" s="31"/>
      <c r="D178" s="31"/>
      <c r="E178" s="31"/>
      <c r="F178" s="31"/>
      <c r="G178" s="31"/>
      <c r="H178" s="31"/>
      <c r="I178" s="31"/>
      <c r="J178" s="31"/>
    </row>
    <row r="179" spans="1:10" x14ac:dyDescent="0.15">
      <c r="A179" s="31"/>
      <c r="B179" s="31"/>
      <c r="C179" s="31"/>
      <c r="D179" s="31"/>
      <c r="E179" s="31"/>
      <c r="F179" s="31"/>
      <c r="G179" s="31"/>
      <c r="H179" s="31"/>
      <c r="I179" s="31"/>
      <c r="J179" s="31"/>
    </row>
    <row r="180" spans="1:10" x14ac:dyDescent="0.15">
      <c r="A180" s="31"/>
      <c r="B180" s="31"/>
      <c r="C180" s="31"/>
      <c r="D180" s="31"/>
      <c r="E180" s="31"/>
      <c r="F180" s="31"/>
      <c r="G180" s="31"/>
      <c r="H180" s="31"/>
      <c r="I180" s="31"/>
      <c r="J180" s="31"/>
    </row>
    <row r="181" spans="1:10" x14ac:dyDescent="0.15">
      <c r="A181" s="31"/>
      <c r="B181" s="31"/>
      <c r="C181" s="31"/>
      <c r="D181" s="31"/>
      <c r="E181" s="31"/>
      <c r="F181" s="31"/>
      <c r="G181" s="31"/>
      <c r="H181" s="31"/>
      <c r="I181" s="31"/>
      <c r="J181" s="31"/>
    </row>
    <row r="182" spans="1:10" x14ac:dyDescent="0.15">
      <c r="A182" s="31"/>
      <c r="B182" s="31"/>
      <c r="C182" s="31"/>
      <c r="D182" s="31"/>
      <c r="E182" s="31"/>
      <c r="F182" s="31"/>
      <c r="G182" s="31"/>
      <c r="H182" s="31"/>
      <c r="I182" s="31"/>
      <c r="J182" s="31"/>
    </row>
    <row r="183" spans="1:10" x14ac:dyDescent="0.15">
      <c r="A183" s="31"/>
      <c r="B183" s="31"/>
      <c r="C183" s="31"/>
      <c r="D183" s="31"/>
      <c r="E183" s="31"/>
      <c r="F183" s="31"/>
      <c r="G183" s="31"/>
      <c r="H183" s="31"/>
      <c r="I183" s="31"/>
      <c r="J183" s="31"/>
    </row>
    <row r="184" spans="1:10" x14ac:dyDescent="0.15">
      <c r="A184" s="31"/>
      <c r="B184" s="31"/>
      <c r="C184" s="31"/>
      <c r="D184" s="31"/>
      <c r="E184" s="31"/>
      <c r="F184" s="31"/>
      <c r="G184" s="31"/>
      <c r="H184" s="31"/>
      <c r="I184" s="31"/>
      <c r="J184" s="31"/>
    </row>
    <row r="185" spans="1:10" x14ac:dyDescent="0.15">
      <c r="A185" s="31"/>
      <c r="B185" s="31"/>
      <c r="C185" s="31"/>
      <c r="D185" s="31"/>
      <c r="E185" s="31"/>
      <c r="F185" s="31"/>
      <c r="G185" s="31"/>
      <c r="H185" s="31"/>
      <c r="I185" s="31"/>
      <c r="J185" s="31"/>
    </row>
    <row r="186" spans="1:10" x14ac:dyDescent="0.15">
      <c r="A186" s="31"/>
      <c r="B186" s="31"/>
      <c r="C186" s="31"/>
      <c r="D186" s="31"/>
      <c r="E186" s="31"/>
      <c r="F186" s="31"/>
      <c r="G186" s="31"/>
      <c r="H186" s="31"/>
      <c r="I186" s="31"/>
      <c r="J186" s="31"/>
    </row>
    <row r="187" spans="1:10" x14ac:dyDescent="0.15">
      <c r="A187" s="31"/>
      <c r="B187" s="31"/>
      <c r="C187" s="31"/>
      <c r="D187" s="31"/>
      <c r="E187" s="31"/>
      <c r="F187" s="31"/>
      <c r="G187" s="31"/>
      <c r="H187" s="31"/>
      <c r="I187" s="31"/>
      <c r="J187" s="31"/>
    </row>
    <row r="188" spans="1:10" x14ac:dyDescent="0.15">
      <c r="A188" s="31"/>
      <c r="B188" s="31"/>
      <c r="C188" s="31"/>
      <c r="D188" s="31"/>
      <c r="E188" s="31"/>
      <c r="F188" s="31"/>
      <c r="G188" s="31"/>
      <c r="H188" s="31"/>
      <c r="I188" s="31"/>
      <c r="J188" s="31"/>
    </row>
    <row r="189" spans="1:10" x14ac:dyDescent="0.15">
      <c r="A189" s="31"/>
      <c r="B189" s="31"/>
      <c r="C189" s="31"/>
      <c r="D189" s="31"/>
      <c r="E189" s="31"/>
      <c r="F189" s="31"/>
      <c r="G189" s="31"/>
      <c r="H189" s="31"/>
      <c r="I189" s="31"/>
      <c r="J189" s="31"/>
    </row>
    <row r="190" spans="1:10" x14ac:dyDescent="0.15">
      <c r="A190" s="31"/>
      <c r="B190" s="31"/>
      <c r="C190" s="31"/>
      <c r="D190" s="31"/>
      <c r="E190" s="31"/>
      <c r="F190" s="31"/>
      <c r="G190" s="31"/>
      <c r="H190" s="31"/>
      <c r="I190" s="31"/>
      <c r="J190" s="31"/>
    </row>
    <row r="191" spans="1:10" x14ac:dyDescent="0.15">
      <c r="A191" s="31"/>
      <c r="B191" s="31"/>
      <c r="C191" s="31"/>
      <c r="D191" s="31"/>
      <c r="E191" s="31"/>
      <c r="F191" s="31"/>
      <c r="G191" s="31"/>
      <c r="H191" s="31"/>
      <c r="I191" s="31"/>
      <c r="J191" s="31"/>
    </row>
    <row r="192" spans="1:10" x14ac:dyDescent="0.15">
      <c r="A192" s="31"/>
      <c r="B192" s="31"/>
      <c r="C192" s="31"/>
      <c r="D192" s="31"/>
      <c r="E192" s="31"/>
      <c r="F192" s="31"/>
      <c r="G192" s="31"/>
      <c r="H192" s="31"/>
      <c r="I192" s="31"/>
      <c r="J192" s="31"/>
    </row>
    <row r="193" spans="1:10" x14ac:dyDescent="0.15">
      <c r="A193" s="31"/>
      <c r="B193" s="31"/>
      <c r="C193" s="31"/>
      <c r="D193" s="31"/>
      <c r="E193" s="31"/>
      <c r="F193" s="31"/>
      <c r="G193" s="31"/>
      <c r="H193" s="31"/>
      <c r="I193" s="31"/>
      <c r="J193" s="31"/>
    </row>
    <row r="194" spans="1:10" x14ac:dyDescent="0.15">
      <c r="A194" s="31"/>
      <c r="B194" s="31"/>
      <c r="C194" s="31"/>
      <c r="D194" s="31"/>
      <c r="E194" s="31"/>
      <c r="F194" s="31"/>
      <c r="G194" s="31"/>
      <c r="H194" s="31"/>
      <c r="I194" s="31"/>
      <c r="J194" s="31"/>
    </row>
    <row r="195" spans="1:10" x14ac:dyDescent="0.15">
      <c r="A195" s="31"/>
      <c r="B195" s="31"/>
      <c r="C195" s="31"/>
      <c r="D195" s="31"/>
      <c r="E195" s="31"/>
      <c r="F195" s="31"/>
      <c r="G195" s="31"/>
      <c r="H195" s="31"/>
      <c r="I195" s="31"/>
      <c r="J195" s="31"/>
    </row>
    <row r="196" spans="1:10" x14ac:dyDescent="0.15">
      <c r="A196" s="31"/>
      <c r="B196" s="31"/>
      <c r="C196" s="31"/>
      <c r="D196" s="31"/>
      <c r="E196" s="31"/>
      <c r="F196" s="31"/>
      <c r="G196" s="31"/>
      <c r="H196" s="31"/>
      <c r="I196" s="31"/>
      <c r="J196" s="31"/>
    </row>
    <row r="197" spans="1:10" x14ac:dyDescent="0.15">
      <c r="A197" s="31"/>
      <c r="B197" s="31"/>
      <c r="C197" s="31"/>
      <c r="D197" s="31"/>
      <c r="E197" s="31"/>
      <c r="F197" s="31"/>
      <c r="G197" s="31"/>
      <c r="H197" s="31"/>
      <c r="I197" s="31"/>
      <c r="J197" s="31"/>
    </row>
    <row r="198" spans="1:10" x14ac:dyDescent="0.15">
      <c r="A198" s="31"/>
      <c r="B198" s="31"/>
      <c r="C198" s="31"/>
      <c r="D198" s="31"/>
      <c r="E198" s="31"/>
      <c r="F198" s="31"/>
      <c r="G198" s="31"/>
      <c r="H198" s="31"/>
      <c r="I198" s="31"/>
      <c r="J198" s="31"/>
    </row>
    <row r="199" spans="1:10" x14ac:dyDescent="0.15">
      <c r="A199" s="31"/>
      <c r="B199" s="31"/>
      <c r="C199" s="31"/>
      <c r="D199" s="31"/>
      <c r="E199" s="31"/>
      <c r="F199" s="31"/>
      <c r="G199" s="31"/>
      <c r="H199" s="31"/>
      <c r="I199" s="31"/>
      <c r="J199" s="31"/>
    </row>
    <row r="200" spans="1:10" x14ac:dyDescent="0.15">
      <c r="A200" s="31"/>
      <c r="B200" s="31"/>
      <c r="C200" s="31"/>
      <c r="D200" s="31"/>
      <c r="E200" s="31"/>
      <c r="F200" s="31"/>
      <c r="G200" s="31"/>
      <c r="H200" s="31"/>
      <c r="I200" s="31"/>
      <c r="J200" s="31"/>
    </row>
    <row r="201" spans="1:10" x14ac:dyDescent="0.15">
      <c r="A201" s="31"/>
      <c r="B201" s="31"/>
      <c r="C201" s="31"/>
      <c r="D201" s="31"/>
      <c r="E201" s="31"/>
      <c r="F201" s="31"/>
      <c r="G201" s="31"/>
      <c r="H201" s="31"/>
      <c r="I201" s="31"/>
      <c r="J201" s="31"/>
    </row>
    <row r="202" spans="1:10" x14ac:dyDescent="0.15">
      <c r="A202" s="31"/>
      <c r="B202" s="31"/>
      <c r="C202" s="31"/>
      <c r="D202" s="31"/>
      <c r="E202" s="31"/>
      <c r="F202" s="31"/>
      <c r="G202" s="31"/>
      <c r="H202" s="31"/>
      <c r="I202" s="31"/>
      <c r="J202" s="31"/>
    </row>
    <row r="203" spans="1:10" x14ac:dyDescent="0.15">
      <c r="A203" s="31"/>
      <c r="B203" s="31"/>
      <c r="C203" s="31"/>
      <c r="D203" s="31"/>
      <c r="E203" s="31"/>
      <c r="F203" s="31"/>
      <c r="G203" s="31"/>
      <c r="H203" s="31"/>
      <c r="I203" s="31"/>
      <c r="J203" s="31"/>
    </row>
    <row r="204" spans="1:10" x14ac:dyDescent="0.15">
      <c r="A204" s="31"/>
      <c r="B204" s="31"/>
      <c r="C204" s="31"/>
      <c r="D204" s="31"/>
      <c r="E204" s="31"/>
      <c r="F204" s="31"/>
      <c r="G204" s="31"/>
      <c r="H204" s="31"/>
      <c r="I204" s="31"/>
      <c r="J204" s="31"/>
    </row>
    <row r="205" spans="1:10" x14ac:dyDescent="0.15">
      <c r="A205" s="31"/>
      <c r="B205" s="31"/>
      <c r="C205" s="31"/>
      <c r="D205" s="31"/>
      <c r="E205" s="31"/>
      <c r="F205" s="31"/>
      <c r="G205" s="31"/>
      <c r="H205" s="31"/>
      <c r="I205" s="31"/>
      <c r="J205" s="31"/>
    </row>
    <row r="206" spans="1:10" x14ac:dyDescent="0.15">
      <c r="A206" s="31"/>
      <c r="B206" s="31"/>
      <c r="C206" s="31"/>
      <c r="D206" s="31"/>
      <c r="E206" s="31"/>
      <c r="F206" s="31"/>
      <c r="G206" s="31"/>
      <c r="H206" s="31"/>
      <c r="I206" s="31"/>
      <c r="J206" s="31"/>
    </row>
    <row r="207" spans="1:10" x14ac:dyDescent="0.15">
      <c r="A207" s="31"/>
      <c r="B207" s="31"/>
      <c r="C207" s="31"/>
      <c r="D207" s="31"/>
      <c r="E207" s="31"/>
      <c r="F207" s="31"/>
      <c r="G207" s="31"/>
      <c r="H207" s="31"/>
      <c r="I207" s="31"/>
      <c r="J207" s="31"/>
    </row>
    <row r="208" spans="1:10" x14ac:dyDescent="0.15">
      <c r="A208" s="31"/>
      <c r="B208" s="31"/>
      <c r="C208" s="31"/>
      <c r="D208" s="31"/>
      <c r="E208" s="31"/>
      <c r="F208" s="31"/>
      <c r="G208" s="31"/>
      <c r="H208" s="31"/>
      <c r="I208" s="31"/>
      <c r="J208" s="31"/>
    </row>
    <row r="209" spans="1:10" x14ac:dyDescent="0.15">
      <c r="A209" s="31"/>
      <c r="B209" s="31"/>
      <c r="C209" s="31"/>
      <c r="D209" s="31"/>
      <c r="E209" s="31"/>
      <c r="F209" s="31"/>
      <c r="G209" s="31"/>
      <c r="H209" s="31"/>
      <c r="I209" s="31"/>
      <c r="J209" s="31"/>
    </row>
    <row r="210" spans="1:10" x14ac:dyDescent="0.15">
      <c r="A210" s="31"/>
      <c r="B210" s="31"/>
      <c r="C210" s="31"/>
      <c r="D210" s="31"/>
      <c r="E210" s="31"/>
      <c r="F210" s="31"/>
      <c r="G210" s="31"/>
      <c r="H210" s="31"/>
      <c r="I210" s="31"/>
      <c r="J210" s="31"/>
    </row>
    <row r="211" spans="1:10" x14ac:dyDescent="0.15">
      <c r="A211" s="31"/>
      <c r="B211" s="31"/>
      <c r="C211" s="31"/>
      <c r="D211" s="31"/>
      <c r="E211" s="31"/>
      <c r="F211" s="31"/>
      <c r="G211" s="31"/>
      <c r="H211" s="31"/>
      <c r="I211" s="31"/>
      <c r="J211" s="31"/>
    </row>
    <row r="212" spans="1:10" x14ac:dyDescent="0.15">
      <c r="A212" s="31"/>
      <c r="B212" s="31"/>
      <c r="C212" s="31"/>
      <c r="D212" s="31"/>
      <c r="E212" s="31"/>
      <c r="F212" s="31"/>
      <c r="G212" s="31"/>
      <c r="H212" s="31"/>
      <c r="I212" s="31"/>
      <c r="J212" s="31"/>
    </row>
    <row r="213" spans="1:10" x14ac:dyDescent="0.15">
      <c r="A213" s="31"/>
      <c r="B213" s="31"/>
      <c r="C213" s="31"/>
      <c r="D213" s="31"/>
      <c r="E213" s="31"/>
      <c r="F213" s="31"/>
      <c r="G213" s="31"/>
      <c r="H213" s="31"/>
      <c r="I213" s="31"/>
      <c r="J213" s="31"/>
    </row>
    <row r="214" spans="1:10" x14ac:dyDescent="0.15">
      <c r="A214" s="31"/>
      <c r="B214" s="31"/>
      <c r="C214" s="31"/>
      <c r="D214" s="31"/>
      <c r="E214" s="31"/>
      <c r="F214" s="31"/>
      <c r="G214" s="31"/>
      <c r="H214" s="31"/>
      <c r="I214" s="31"/>
      <c r="J214" s="31"/>
    </row>
    <row r="215" spans="1:10" x14ac:dyDescent="0.15">
      <c r="A215" s="31"/>
      <c r="B215" s="31"/>
      <c r="C215" s="31"/>
      <c r="D215" s="31"/>
      <c r="E215" s="31"/>
      <c r="F215" s="31"/>
      <c r="G215" s="31"/>
      <c r="H215" s="31"/>
      <c r="I215" s="31"/>
      <c r="J215" s="31"/>
    </row>
    <row r="216" spans="1:10" x14ac:dyDescent="0.15">
      <c r="A216" s="31"/>
      <c r="B216" s="31"/>
      <c r="C216" s="31"/>
      <c r="D216" s="31"/>
      <c r="E216" s="31"/>
      <c r="F216" s="31"/>
      <c r="G216" s="31"/>
      <c r="H216" s="31"/>
      <c r="I216" s="31"/>
      <c r="J216" s="31"/>
    </row>
    <row r="217" spans="1:10" x14ac:dyDescent="0.15">
      <c r="A217" s="31"/>
      <c r="B217" s="31"/>
      <c r="C217" s="31"/>
      <c r="D217" s="31"/>
      <c r="E217" s="31"/>
      <c r="F217" s="31"/>
      <c r="G217" s="31"/>
      <c r="H217" s="31"/>
      <c r="I217" s="31"/>
      <c r="J217" s="31"/>
    </row>
    <row r="218" spans="1:10" x14ac:dyDescent="0.15">
      <c r="A218" s="31"/>
      <c r="B218" s="31"/>
      <c r="C218" s="31"/>
      <c r="D218" s="31"/>
      <c r="E218" s="31"/>
      <c r="F218" s="31"/>
      <c r="G218" s="31"/>
      <c r="H218" s="31"/>
      <c r="I218" s="31"/>
      <c r="J218" s="31"/>
    </row>
    <row r="219" spans="1:10" x14ac:dyDescent="0.15">
      <c r="A219" s="31"/>
      <c r="B219" s="31"/>
      <c r="C219" s="31"/>
      <c r="D219" s="31"/>
      <c r="E219" s="31"/>
      <c r="F219" s="31"/>
      <c r="G219" s="31"/>
      <c r="H219" s="31"/>
      <c r="I219" s="31"/>
      <c r="J219" s="31"/>
    </row>
    <row r="220" spans="1:10" x14ac:dyDescent="0.15">
      <c r="A220" s="31"/>
      <c r="B220" s="31"/>
      <c r="C220" s="31"/>
      <c r="D220" s="31"/>
      <c r="E220" s="31"/>
      <c r="F220" s="31"/>
      <c r="G220" s="31"/>
      <c r="H220" s="31"/>
      <c r="I220" s="31"/>
      <c r="J220" s="31"/>
    </row>
    <row r="221" spans="1:10" x14ac:dyDescent="0.15">
      <c r="A221" s="31"/>
      <c r="B221" s="31"/>
      <c r="C221" s="31"/>
      <c r="D221" s="31"/>
      <c r="E221" s="31"/>
      <c r="F221" s="31"/>
      <c r="G221" s="31"/>
      <c r="H221" s="31"/>
      <c r="I221" s="31"/>
      <c r="J221" s="31"/>
    </row>
    <row r="222" spans="1:10" x14ac:dyDescent="0.15">
      <c r="A222" s="31"/>
      <c r="B222" s="31"/>
      <c r="C222" s="31"/>
      <c r="D222" s="31"/>
      <c r="E222" s="31"/>
      <c r="F222" s="31"/>
      <c r="G222" s="31"/>
      <c r="H222" s="31"/>
      <c r="I222" s="31"/>
      <c r="J222" s="31"/>
    </row>
    <row r="223" spans="1:10" x14ac:dyDescent="0.15">
      <c r="A223" s="31"/>
      <c r="B223" s="31"/>
      <c r="C223" s="31"/>
      <c r="D223" s="31"/>
      <c r="E223" s="31"/>
      <c r="F223" s="31"/>
      <c r="G223" s="31"/>
      <c r="H223" s="31"/>
      <c r="I223" s="31"/>
      <c r="J223" s="31"/>
    </row>
    <row r="224" spans="1:10" x14ac:dyDescent="0.15">
      <c r="A224" s="31"/>
      <c r="B224" s="31"/>
      <c r="C224" s="31"/>
      <c r="D224" s="31"/>
      <c r="E224" s="31"/>
      <c r="F224" s="31"/>
      <c r="G224" s="31"/>
      <c r="H224" s="31"/>
      <c r="I224" s="31"/>
      <c r="J224" s="31"/>
    </row>
    <row r="225" spans="1:10" x14ac:dyDescent="0.15">
      <c r="A225" s="31"/>
      <c r="B225" s="31"/>
      <c r="C225" s="31"/>
      <c r="D225" s="31"/>
      <c r="E225" s="31"/>
      <c r="F225" s="31"/>
      <c r="G225" s="31"/>
      <c r="H225" s="31"/>
      <c r="I225" s="31"/>
      <c r="J225" s="31"/>
    </row>
    <row r="226" spans="1:10" x14ac:dyDescent="0.15">
      <c r="A226" s="31"/>
      <c r="B226" s="31"/>
      <c r="C226" s="31"/>
      <c r="D226" s="31"/>
      <c r="E226" s="31"/>
      <c r="F226" s="31"/>
      <c r="G226" s="31"/>
      <c r="H226" s="31"/>
      <c r="I226" s="31"/>
      <c r="J226" s="31"/>
    </row>
    <row r="227" spans="1:10" x14ac:dyDescent="0.15">
      <c r="A227" s="31"/>
      <c r="B227" s="31"/>
      <c r="C227" s="31"/>
      <c r="D227" s="31"/>
      <c r="E227" s="31"/>
      <c r="F227" s="31"/>
      <c r="G227" s="31"/>
      <c r="H227" s="31"/>
      <c r="I227" s="31"/>
      <c r="J227" s="31"/>
    </row>
    <row r="228" spans="1:10" x14ac:dyDescent="0.15">
      <c r="A228" s="31"/>
      <c r="B228" s="31"/>
      <c r="C228" s="31"/>
      <c r="D228" s="31"/>
      <c r="E228" s="31"/>
      <c r="F228" s="31"/>
      <c r="G228" s="31"/>
      <c r="H228" s="31"/>
      <c r="I228" s="31"/>
      <c r="J228" s="31"/>
    </row>
    <row r="229" spans="1:10" x14ac:dyDescent="0.15">
      <c r="A229" s="31"/>
      <c r="B229" s="31"/>
      <c r="C229" s="31"/>
      <c r="D229" s="31"/>
      <c r="E229" s="31"/>
      <c r="F229" s="31"/>
      <c r="G229" s="31"/>
      <c r="H229" s="31"/>
      <c r="I229" s="31"/>
      <c r="J229" s="31"/>
    </row>
    <row r="230" spans="1:10" x14ac:dyDescent="0.15">
      <c r="A230" s="31"/>
      <c r="B230" s="31"/>
      <c r="C230" s="31"/>
      <c r="D230" s="31"/>
      <c r="E230" s="31"/>
      <c r="F230" s="31"/>
      <c r="G230" s="31"/>
      <c r="H230" s="31"/>
      <c r="I230" s="31"/>
      <c r="J230" s="31"/>
    </row>
    <row r="231" spans="1:10" x14ac:dyDescent="0.15">
      <c r="A231" s="31"/>
      <c r="B231" s="31"/>
      <c r="C231" s="31"/>
      <c r="D231" s="31"/>
      <c r="E231" s="31"/>
      <c r="F231" s="31"/>
      <c r="G231" s="31"/>
      <c r="H231" s="31"/>
      <c r="I231" s="31"/>
      <c r="J231" s="31"/>
    </row>
    <row r="232" spans="1:10" x14ac:dyDescent="0.15">
      <c r="A232" s="31"/>
      <c r="B232" s="31"/>
      <c r="C232" s="31"/>
      <c r="D232" s="31"/>
      <c r="E232" s="31"/>
      <c r="F232" s="31"/>
      <c r="G232" s="31"/>
      <c r="H232" s="31"/>
      <c r="I232" s="31"/>
      <c r="J232" s="31"/>
    </row>
    <row r="233" spans="1:10" x14ac:dyDescent="0.15">
      <c r="A233" s="31"/>
      <c r="B233" s="31"/>
      <c r="C233" s="31"/>
      <c r="D233" s="31"/>
      <c r="E233" s="31"/>
      <c r="F233" s="31"/>
      <c r="G233" s="31"/>
      <c r="H233" s="31"/>
      <c r="I233" s="31"/>
      <c r="J233" s="31"/>
    </row>
    <row r="234" spans="1:10" x14ac:dyDescent="0.15">
      <c r="A234" s="31"/>
      <c r="B234" s="31"/>
      <c r="C234" s="31"/>
      <c r="D234" s="31"/>
      <c r="E234" s="31"/>
      <c r="F234" s="31"/>
      <c r="G234" s="31"/>
      <c r="H234" s="31"/>
      <c r="I234" s="31"/>
      <c r="J234" s="31"/>
    </row>
    <row r="235" spans="1:10" x14ac:dyDescent="0.15">
      <c r="A235" s="31"/>
      <c r="B235" s="31"/>
      <c r="C235" s="31"/>
      <c r="D235" s="31"/>
      <c r="E235" s="31"/>
      <c r="F235" s="31"/>
      <c r="G235" s="31"/>
      <c r="H235" s="31"/>
      <c r="I235" s="31"/>
      <c r="J235" s="31"/>
    </row>
    <row r="236" spans="1:10" x14ac:dyDescent="0.15">
      <c r="A236" s="31"/>
      <c r="B236" s="31"/>
      <c r="C236" s="31"/>
      <c r="D236" s="31"/>
      <c r="E236" s="31"/>
      <c r="F236" s="31"/>
      <c r="G236" s="31"/>
      <c r="H236" s="31"/>
      <c r="I236" s="31"/>
      <c r="J236" s="31"/>
    </row>
    <row r="237" spans="1:10" x14ac:dyDescent="0.15">
      <c r="A237" s="31"/>
      <c r="B237" s="31"/>
      <c r="C237" s="31"/>
      <c r="D237" s="31"/>
      <c r="E237" s="31"/>
      <c r="F237" s="31"/>
      <c r="G237" s="31"/>
      <c r="H237" s="31"/>
      <c r="I237" s="31"/>
      <c r="J237" s="31"/>
    </row>
    <row r="238" spans="1:10" x14ac:dyDescent="0.15">
      <c r="A238" s="31"/>
      <c r="B238" s="31"/>
      <c r="C238" s="31"/>
      <c r="D238" s="31"/>
      <c r="E238" s="31"/>
      <c r="F238" s="31"/>
      <c r="G238" s="31"/>
      <c r="H238" s="31"/>
      <c r="I238" s="31"/>
      <c r="J238" s="31"/>
    </row>
    <row r="239" spans="1:10" x14ac:dyDescent="0.15">
      <c r="A239" s="31"/>
      <c r="B239" s="31"/>
      <c r="C239" s="31"/>
      <c r="D239" s="31"/>
      <c r="E239" s="31"/>
      <c r="F239" s="31"/>
      <c r="G239" s="31"/>
      <c r="H239" s="31"/>
      <c r="I239" s="31"/>
      <c r="J239" s="31"/>
    </row>
    <row r="240" spans="1:10" x14ac:dyDescent="0.15">
      <c r="A240" s="31"/>
      <c r="B240" s="31"/>
      <c r="C240" s="31"/>
      <c r="D240" s="31"/>
      <c r="E240" s="31"/>
      <c r="F240" s="31"/>
      <c r="G240" s="31"/>
      <c r="H240" s="31"/>
      <c r="I240" s="31"/>
      <c r="J240" s="31"/>
    </row>
    <row r="241" spans="1:10" x14ac:dyDescent="0.15">
      <c r="A241" s="31"/>
      <c r="B241" s="31"/>
      <c r="C241" s="31"/>
      <c r="D241" s="31"/>
      <c r="E241" s="31"/>
      <c r="F241" s="31"/>
      <c r="G241" s="31"/>
      <c r="H241" s="31"/>
      <c r="I241" s="31"/>
      <c r="J241" s="31"/>
    </row>
    <row r="242" spans="1:10" x14ac:dyDescent="0.15">
      <c r="A242" s="31"/>
      <c r="B242" s="31"/>
      <c r="C242" s="31"/>
      <c r="D242" s="31"/>
      <c r="E242" s="31"/>
      <c r="F242" s="31"/>
      <c r="G242" s="31"/>
      <c r="H242" s="31"/>
      <c r="I242" s="31"/>
      <c r="J242" s="31"/>
    </row>
    <row r="243" spans="1:10" x14ac:dyDescent="0.15">
      <c r="A243" s="31"/>
      <c r="B243" s="31"/>
      <c r="C243" s="31"/>
      <c r="D243" s="31"/>
      <c r="E243" s="31"/>
      <c r="F243" s="31"/>
      <c r="G243" s="31"/>
      <c r="H243" s="31"/>
      <c r="I243" s="31"/>
      <c r="J243" s="31"/>
    </row>
    <row r="244" spans="1:10" x14ac:dyDescent="0.15">
      <c r="A244" s="31"/>
      <c r="B244" s="31"/>
      <c r="C244" s="31"/>
      <c r="D244" s="31"/>
      <c r="E244" s="31"/>
      <c r="F244" s="31"/>
      <c r="G244" s="31"/>
      <c r="H244" s="31"/>
      <c r="I244" s="31"/>
      <c r="J244" s="31"/>
    </row>
    <row r="245" spans="1:10" x14ac:dyDescent="0.15">
      <c r="A245" s="31"/>
      <c r="B245" s="31"/>
      <c r="C245" s="31"/>
      <c r="D245" s="31"/>
      <c r="E245" s="31"/>
      <c r="F245" s="31"/>
      <c r="G245" s="31"/>
      <c r="H245" s="31"/>
      <c r="I245" s="31"/>
      <c r="J245" s="31"/>
    </row>
    <row r="246" spans="1:10" x14ac:dyDescent="0.15">
      <c r="A246" s="31"/>
      <c r="B246" s="31"/>
      <c r="C246" s="31"/>
      <c r="D246" s="31"/>
      <c r="E246" s="31"/>
      <c r="F246" s="31"/>
      <c r="G246" s="31"/>
      <c r="H246" s="31"/>
      <c r="I246" s="31"/>
      <c r="J246" s="31"/>
    </row>
    <row r="247" spans="1:10" x14ac:dyDescent="0.15">
      <c r="A247" s="31"/>
      <c r="B247" s="31"/>
      <c r="C247" s="31"/>
      <c r="D247" s="31"/>
      <c r="E247" s="31"/>
      <c r="F247" s="31"/>
      <c r="G247" s="31"/>
      <c r="H247" s="31"/>
      <c r="I247" s="31"/>
      <c r="J247" s="31"/>
    </row>
    <row r="248" spans="1:10" x14ac:dyDescent="0.15">
      <c r="A248" s="31"/>
      <c r="B248" s="31"/>
      <c r="C248" s="31"/>
      <c r="D248" s="31"/>
      <c r="E248" s="31"/>
      <c r="F248" s="31"/>
      <c r="G248" s="31"/>
      <c r="H248" s="31"/>
      <c r="I248" s="31"/>
      <c r="J248" s="31"/>
    </row>
    <row r="249" spans="1:10" x14ac:dyDescent="0.15">
      <c r="A249" s="31"/>
      <c r="B249" s="31"/>
      <c r="C249" s="31"/>
      <c r="D249" s="31"/>
      <c r="E249" s="31"/>
      <c r="F249" s="31"/>
      <c r="G249" s="31"/>
      <c r="H249" s="31"/>
      <c r="I249" s="31"/>
      <c r="J249" s="31"/>
    </row>
    <row r="250" spans="1:10" x14ac:dyDescent="0.15">
      <c r="A250" s="31"/>
      <c r="B250" s="31"/>
      <c r="C250" s="31"/>
      <c r="D250" s="31"/>
      <c r="E250" s="31"/>
      <c r="F250" s="31"/>
      <c r="G250" s="31"/>
      <c r="H250" s="31"/>
      <c r="I250" s="31"/>
      <c r="J250" s="31"/>
    </row>
    <row r="251" spans="1:10" x14ac:dyDescent="0.15">
      <c r="A251" s="31"/>
      <c r="B251" s="31"/>
      <c r="C251" s="31"/>
      <c r="D251" s="31"/>
      <c r="E251" s="31"/>
      <c r="F251" s="31"/>
      <c r="G251" s="31"/>
      <c r="H251" s="31"/>
      <c r="I251" s="31"/>
      <c r="J251" s="31"/>
    </row>
    <row r="252" spans="1:10" x14ac:dyDescent="0.15">
      <c r="A252" s="31"/>
      <c r="B252" s="31"/>
      <c r="C252" s="31"/>
      <c r="D252" s="31"/>
      <c r="E252" s="31"/>
      <c r="F252" s="31"/>
      <c r="G252" s="31"/>
      <c r="H252" s="31"/>
      <c r="I252" s="31"/>
      <c r="J252" s="31"/>
    </row>
    <row r="253" spans="1:10" x14ac:dyDescent="0.15">
      <c r="A253" s="31"/>
      <c r="B253" s="31"/>
      <c r="C253" s="31"/>
      <c r="D253" s="31"/>
      <c r="E253" s="31"/>
      <c r="F253" s="31"/>
      <c r="G253" s="31"/>
      <c r="H253" s="31"/>
      <c r="I253" s="31"/>
      <c r="J253" s="31"/>
    </row>
    <row r="254" spans="1:10" x14ac:dyDescent="0.15">
      <c r="A254" s="31"/>
      <c r="B254" s="31"/>
      <c r="C254" s="31"/>
      <c r="D254" s="31"/>
      <c r="E254" s="31"/>
      <c r="F254" s="31"/>
      <c r="G254" s="31"/>
      <c r="H254" s="31"/>
      <c r="I254" s="31"/>
      <c r="J254" s="31"/>
    </row>
    <row r="255" spans="1:10" x14ac:dyDescent="0.15">
      <c r="A255" s="31"/>
      <c r="B255" s="31"/>
      <c r="C255" s="31"/>
      <c r="D255" s="31"/>
      <c r="E255" s="31"/>
      <c r="F255" s="31"/>
      <c r="G255" s="31"/>
      <c r="H255" s="31"/>
      <c r="I255" s="31"/>
      <c r="J255" s="31"/>
    </row>
    <row r="256" spans="1:10" x14ac:dyDescent="0.15">
      <c r="A256" s="31"/>
      <c r="B256" s="31"/>
      <c r="C256" s="31"/>
      <c r="D256" s="31"/>
      <c r="E256" s="31"/>
      <c r="F256" s="31"/>
      <c r="G256" s="31"/>
      <c r="H256" s="31"/>
      <c r="I256" s="31"/>
      <c r="J256" s="31"/>
    </row>
    <row r="257" spans="1:10" x14ac:dyDescent="0.15">
      <c r="A257" s="31"/>
      <c r="B257" s="31"/>
      <c r="C257" s="31"/>
      <c r="D257" s="31"/>
      <c r="E257" s="31"/>
      <c r="F257" s="31"/>
      <c r="G257" s="31"/>
      <c r="H257" s="31"/>
      <c r="I257" s="31"/>
      <c r="J257" s="31"/>
    </row>
    <row r="258" spans="1:10" x14ac:dyDescent="0.15">
      <c r="A258" s="31"/>
      <c r="B258" s="31"/>
      <c r="C258" s="31"/>
      <c r="D258" s="31"/>
      <c r="E258" s="31"/>
      <c r="F258" s="31"/>
      <c r="G258" s="31"/>
      <c r="H258" s="31"/>
      <c r="I258" s="31"/>
      <c r="J258" s="31"/>
    </row>
    <row r="259" spans="1:10" x14ac:dyDescent="0.15">
      <c r="A259" s="31"/>
      <c r="B259" s="31"/>
      <c r="C259" s="31"/>
      <c r="D259" s="31"/>
      <c r="E259" s="31"/>
      <c r="F259" s="31"/>
      <c r="G259" s="31"/>
      <c r="H259" s="31"/>
      <c r="I259" s="31"/>
      <c r="J259" s="31"/>
    </row>
    <row r="260" spans="1:10" x14ac:dyDescent="0.15">
      <c r="A260" s="31"/>
      <c r="B260" s="31"/>
      <c r="C260" s="31"/>
      <c r="D260" s="31"/>
      <c r="E260" s="31"/>
      <c r="F260" s="31"/>
      <c r="G260" s="31"/>
      <c r="H260" s="31"/>
      <c r="I260" s="31"/>
      <c r="J260" s="31"/>
    </row>
    <row r="261" spans="1:10" x14ac:dyDescent="0.15">
      <c r="A261" s="31"/>
      <c r="B261" s="31"/>
      <c r="C261" s="31"/>
      <c r="D261" s="31"/>
      <c r="E261" s="31"/>
      <c r="F261" s="31"/>
      <c r="G261" s="31"/>
      <c r="H261" s="31"/>
      <c r="I261" s="31"/>
      <c r="J261" s="31"/>
    </row>
    <row r="262" spans="1:10" x14ac:dyDescent="0.15">
      <c r="A262" s="31"/>
      <c r="B262" s="31"/>
      <c r="C262" s="31"/>
      <c r="D262" s="31"/>
      <c r="E262" s="31"/>
      <c r="F262" s="31"/>
      <c r="G262" s="31"/>
      <c r="H262" s="31"/>
      <c r="I262" s="31"/>
      <c r="J262" s="31"/>
    </row>
    <row r="263" spans="1:10" x14ac:dyDescent="0.15">
      <c r="A263" s="31"/>
      <c r="B263" s="31"/>
      <c r="C263" s="31"/>
      <c r="D263" s="31"/>
      <c r="E263" s="31"/>
      <c r="F263" s="31"/>
      <c r="G263" s="31"/>
      <c r="H263" s="31"/>
      <c r="I263" s="31"/>
      <c r="J263" s="31"/>
    </row>
    <row r="264" spans="1:10" x14ac:dyDescent="0.15">
      <c r="A264" s="31"/>
      <c r="B264" s="31"/>
      <c r="C264" s="31"/>
      <c r="D264" s="31"/>
      <c r="E264" s="31"/>
      <c r="F264" s="31"/>
      <c r="G264" s="31"/>
      <c r="H264" s="31"/>
      <c r="I264" s="31"/>
      <c r="J264" s="31"/>
    </row>
    <row r="265" spans="1:10" x14ac:dyDescent="0.15">
      <c r="A265" s="31"/>
      <c r="B265" s="31"/>
      <c r="C265" s="31"/>
      <c r="D265" s="31"/>
      <c r="E265" s="31"/>
      <c r="F265" s="31"/>
      <c r="G265" s="31"/>
      <c r="H265" s="31"/>
      <c r="I265" s="31"/>
      <c r="J265" s="31"/>
    </row>
    <row r="266" spans="1:10" x14ac:dyDescent="0.15">
      <c r="A266" s="31"/>
      <c r="B266" s="31"/>
      <c r="C266" s="31"/>
      <c r="D266" s="31"/>
      <c r="E266" s="31"/>
      <c r="F266" s="31"/>
      <c r="G266" s="31"/>
      <c r="H266" s="31"/>
      <c r="I266" s="31"/>
      <c r="J266" s="31"/>
    </row>
    <row r="267" spans="1:10" x14ac:dyDescent="0.15">
      <c r="A267" s="31"/>
      <c r="B267" s="31"/>
      <c r="C267" s="31"/>
      <c r="D267" s="31"/>
      <c r="E267" s="31"/>
      <c r="F267" s="31"/>
      <c r="G267" s="31"/>
      <c r="H267" s="31"/>
      <c r="I267" s="31"/>
      <c r="J267" s="31"/>
    </row>
    <row r="268" spans="1:10" x14ac:dyDescent="0.15">
      <c r="A268" s="31"/>
      <c r="B268" s="31"/>
      <c r="C268" s="31"/>
      <c r="D268" s="31"/>
      <c r="E268" s="31"/>
      <c r="F268" s="31"/>
      <c r="G268" s="31"/>
      <c r="H268" s="31"/>
      <c r="I268" s="31"/>
      <c r="J268" s="31"/>
    </row>
    <row r="269" spans="1:10" x14ac:dyDescent="0.15">
      <c r="A269" s="31"/>
      <c r="B269" s="31"/>
      <c r="C269" s="31"/>
      <c r="D269" s="31"/>
      <c r="E269" s="31"/>
      <c r="F269" s="31"/>
      <c r="G269" s="31"/>
      <c r="H269" s="31"/>
      <c r="I269" s="31"/>
      <c r="J269" s="31"/>
    </row>
    <row r="270" spans="1:10" x14ac:dyDescent="0.15">
      <c r="A270" s="31"/>
      <c r="B270" s="31"/>
      <c r="C270" s="31"/>
      <c r="D270" s="31"/>
      <c r="E270" s="31"/>
      <c r="F270" s="31"/>
      <c r="G270" s="31"/>
      <c r="H270" s="31"/>
      <c r="I270" s="31"/>
      <c r="J270" s="31"/>
    </row>
    <row r="271" spans="1:10" x14ac:dyDescent="0.15">
      <c r="A271" s="31"/>
      <c r="B271" s="31"/>
      <c r="C271" s="31"/>
      <c r="D271" s="31"/>
      <c r="E271" s="31"/>
      <c r="F271" s="31"/>
      <c r="G271" s="31"/>
      <c r="H271" s="31"/>
      <c r="I271" s="31"/>
      <c r="J271" s="31"/>
    </row>
    <row r="272" spans="1:10" x14ac:dyDescent="0.15">
      <c r="A272" s="31"/>
      <c r="B272" s="31"/>
      <c r="C272" s="31"/>
      <c r="D272" s="31"/>
      <c r="E272" s="31"/>
      <c r="F272" s="31"/>
      <c r="G272" s="31"/>
      <c r="H272" s="31"/>
      <c r="I272" s="31"/>
      <c r="J272" s="31"/>
    </row>
    <row r="273" spans="1:10" x14ac:dyDescent="0.15">
      <c r="A273" s="31"/>
      <c r="B273" s="31"/>
      <c r="C273" s="31"/>
      <c r="D273" s="31"/>
      <c r="E273" s="31"/>
      <c r="F273" s="31"/>
      <c r="G273" s="31"/>
      <c r="H273" s="31"/>
      <c r="I273" s="31"/>
      <c r="J273" s="31"/>
    </row>
    <row r="274" spans="1:10" x14ac:dyDescent="0.15">
      <c r="A274" s="31"/>
      <c r="B274" s="31"/>
      <c r="C274" s="31"/>
      <c r="D274" s="31"/>
      <c r="E274" s="31"/>
      <c r="F274" s="31"/>
      <c r="G274" s="31"/>
      <c r="H274" s="31"/>
      <c r="I274" s="31"/>
      <c r="J274" s="31"/>
    </row>
    <row r="275" spans="1:10" x14ac:dyDescent="0.15">
      <c r="A275" s="31"/>
      <c r="B275" s="31"/>
      <c r="C275" s="31"/>
      <c r="D275" s="31"/>
      <c r="E275" s="31"/>
      <c r="F275" s="31"/>
      <c r="G275" s="31"/>
      <c r="H275" s="31"/>
      <c r="I275" s="31"/>
      <c r="J275" s="31"/>
    </row>
    <row r="276" spans="1:10" x14ac:dyDescent="0.15">
      <c r="A276" s="31"/>
      <c r="B276" s="31"/>
      <c r="C276" s="31"/>
      <c r="D276" s="31"/>
      <c r="E276" s="31"/>
      <c r="F276" s="31"/>
      <c r="G276" s="31"/>
      <c r="H276" s="31"/>
      <c r="I276" s="31"/>
      <c r="J276" s="31"/>
    </row>
    <row r="277" spans="1:10" x14ac:dyDescent="0.15">
      <c r="A277" s="31"/>
      <c r="B277" s="31"/>
      <c r="C277" s="31"/>
      <c r="D277" s="31"/>
      <c r="E277" s="31"/>
      <c r="F277" s="31"/>
      <c r="G277" s="31"/>
      <c r="H277" s="31"/>
      <c r="I277" s="31"/>
      <c r="J277" s="31"/>
    </row>
    <row r="278" spans="1:10" x14ac:dyDescent="0.15">
      <c r="A278" s="31"/>
      <c r="B278" s="31"/>
      <c r="C278" s="31"/>
      <c r="D278" s="31"/>
      <c r="E278" s="31"/>
      <c r="F278" s="31"/>
      <c r="G278" s="31"/>
      <c r="H278" s="31"/>
      <c r="I278" s="31"/>
      <c r="J278" s="31"/>
    </row>
    <row r="279" spans="1:10" x14ac:dyDescent="0.15">
      <c r="A279" s="31"/>
      <c r="B279" s="31"/>
      <c r="C279" s="31"/>
      <c r="D279" s="31"/>
      <c r="E279" s="31"/>
      <c r="F279" s="31"/>
      <c r="G279" s="31"/>
      <c r="H279" s="31"/>
      <c r="I279" s="31"/>
      <c r="J279" s="31"/>
    </row>
    <row r="280" spans="1:10" x14ac:dyDescent="0.15">
      <c r="A280" s="31"/>
      <c r="B280" s="31"/>
      <c r="C280" s="31"/>
      <c r="D280" s="31"/>
      <c r="E280" s="31"/>
      <c r="F280" s="31"/>
      <c r="G280" s="31"/>
      <c r="H280" s="31"/>
      <c r="I280" s="31"/>
      <c r="J280" s="31"/>
    </row>
    <row r="281" spans="1:10" x14ac:dyDescent="0.15">
      <c r="A281" s="31"/>
      <c r="B281" s="31"/>
      <c r="C281" s="31"/>
      <c r="D281" s="31"/>
      <c r="E281" s="31"/>
      <c r="F281" s="31"/>
      <c r="G281" s="31"/>
      <c r="H281" s="31"/>
      <c r="I281" s="31"/>
      <c r="J281" s="31"/>
    </row>
    <row r="282" spans="1:10" x14ac:dyDescent="0.15">
      <c r="A282" s="31"/>
      <c r="B282" s="31"/>
      <c r="C282" s="31"/>
      <c r="D282" s="31"/>
      <c r="E282" s="31"/>
      <c r="F282" s="31"/>
      <c r="G282" s="31"/>
      <c r="H282" s="31"/>
      <c r="I282" s="31"/>
      <c r="J282" s="31"/>
    </row>
    <row r="283" spans="1:10" x14ac:dyDescent="0.15">
      <c r="A283" s="31"/>
      <c r="B283" s="31"/>
      <c r="C283" s="31"/>
      <c r="D283" s="31"/>
      <c r="E283" s="31"/>
      <c r="F283" s="31"/>
      <c r="G283" s="31"/>
      <c r="H283" s="31"/>
      <c r="I283" s="31"/>
      <c r="J283" s="31"/>
    </row>
    <row r="284" spans="1:10" x14ac:dyDescent="0.15">
      <c r="A284" s="31"/>
      <c r="B284" s="31"/>
      <c r="C284" s="31"/>
      <c r="D284" s="31"/>
      <c r="E284" s="31"/>
      <c r="F284" s="31"/>
      <c r="G284" s="31"/>
      <c r="H284" s="31"/>
      <c r="I284" s="31"/>
      <c r="J284" s="31"/>
    </row>
    <row r="285" spans="1:10" x14ac:dyDescent="0.15">
      <c r="A285" s="31"/>
      <c r="B285" s="31"/>
      <c r="C285" s="31"/>
      <c r="D285" s="31"/>
      <c r="E285" s="31"/>
      <c r="F285" s="31"/>
      <c r="G285" s="31"/>
      <c r="H285" s="31"/>
      <c r="I285" s="31"/>
      <c r="J285" s="31"/>
    </row>
    <row r="286" spans="1:10" x14ac:dyDescent="0.15">
      <c r="A286" s="31"/>
      <c r="B286" s="31"/>
      <c r="C286" s="31"/>
      <c r="D286" s="31"/>
      <c r="E286" s="31"/>
      <c r="F286" s="31"/>
      <c r="G286" s="31"/>
      <c r="H286" s="31"/>
      <c r="I286" s="31"/>
      <c r="J286" s="31"/>
    </row>
    <row r="287" spans="1:10" x14ac:dyDescent="0.15">
      <c r="A287" s="31"/>
      <c r="B287" s="31"/>
      <c r="C287" s="31"/>
      <c r="D287" s="31"/>
      <c r="E287" s="31"/>
      <c r="F287" s="31"/>
      <c r="G287" s="31"/>
      <c r="H287" s="31"/>
      <c r="I287" s="31"/>
      <c r="J287" s="31"/>
    </row>
    <row r="288" spans="1:10" x14ac:dyDescent="0.15">
      <c r="A288" s="31"/>
      <c r="B288" s="31"/>
      <c r="C288" s="31"/>
      <c r="D288" s="31"/>
      <c r="E288" s="31"/>
      <c r="F288" s="31"/>
      <c r="G288" s="31"/>
      <c r="H288" s="31"/>
      <c r="I288" s="31"/>
      <c r="J288" s="31"/>
    </row>
    <row r="289" spans="1:10" x14ac:dyDescent="0.15">
      <c r="A289" s="31"/>
      <c r="B289" s="31"/>
      <c r="C289" s="31"/>
      <c r="D289" s="31"/>
      <c r="E289" s="31"/>
      <c r="F289" s="31"/>
      <c r="G289" s="31"/>
      <c r="H289" s="31"/>
      <c r="I289" s="31"/>
      <c r="J289" s="31"/>
    </row>
    <row r="290" spans="1:10" x14ac:dyDescent="0.15">
      <c r="A290" s="31"/>
      <c r="B290" s="31"/>
      <c r="C290" s="31"/>
      <c r="D290" s="31"/>
      <c r="E290" s="31"/>
      <c r="F290" s="31"/>
      <c r="G290" s="31"/>
      <c r="H290" s="31"/>
      <c r="I290" s="31"/>
      <c r="J290" s="31"/>
    </row>
    <row r="291" spans="1:10" x14ac:dyDescent="0.15">
      <c r="A291" s="31"/>
      <c r="B291" s="31"/>
      <c r="C291" s="31"/>
      <c r="D291" s="31"/>
      <c r="E291" s="31"/>
      <c r="F291" s="31"/>
      <c r="G291" s="31"/>
      <c r="H291" s="31"/>
      <c r="I291" s="31"/>
      <c r="J291" s="31"/>
    </row>
    <row r="292" spans="1:10" x14ac:dyDescent="0.15">
      <c r="A292" s="31"/>
      <c r="B292" s="31"/>
      <c r="C292" s="31"/>
      <c r="D292" s="31"/>
      <c r="E292" s="31"/>
      <c r="F292" s="31"/>
      <c r="G292" s="31"/>
      <c r="H292" s="31"/>
      <c r="I292" s="31"/>
      <c r="J292" s="31"/>
    </row>
    <row r="293" spans="1:10" x14ac:dyDescent="0.15">
      <c r="A293" s="31"/>
      <c r="B293" s="31"/>
      <c r="C293" s="31"/>
      <c r="D293" s="31"/>
      <c r="E293" s="31"/>
      <c r="F293" s="31"/>
      <c r="G293" s="31"/>
      <c r="H293" s="31"/>
      <c r="I293" s="31"/>
      <c r="J293" s="31"/>
    </row>
    <row r="294" spans="1:10" x14ac:dyDescent="0.15">
      <c r="A294" s="31"/>
      <c r="B294" s="31"/>
      <c r="C294" s="31"/>
      <c r="D294" s="31"/>
      <c r="E294" s="31"/>
      <c r="F294" s="31"/>
      <c r="G294" s="31"/>
      <c r="H294" s="31"/>
      <c r="I294" s="31"/>
      <c r="J294" s="31"/>
    </row>
    <row r="295" spans="1:10" x14ac:dyDescent="0.15">
      <c r="A295" s="31"/>
      <c r="B295" s="31"/>
      <c r="C295" s="31"/>
      <c r="D295" s="31"/>
      <c r="E295" s="31"/>
      <c r="F295" s="31"/>
      <c r="G295" s="31"/>
      <c r="H295" s="31"/>
      <c r="I295" s="31"/>
      <c r="J295" s="31"/>
    </row>
    <row r="296" spans="1:10" x14ac:dyDescent="0.15">
      <c r="A296" s="31"/>
      <c r="B296" s="31"/>
      <c r="C296" s="31"/>
      <c r="D296" s="31"/>
      <c r="E296" s="31"/>
      <c r="F296" s="31"/>
      <c r="G296" s="31"/>
      <c r="H296" s="31"/>
      <c r="I296" s="31"/>
      <c r="J296" s="31"/>
    </row>
    <row r="297" spans="1:10" x14ac:dyDescent="0.15">
      <c r="A297" s="31"/>
      <c r="B297" s="31"/>
      <c r="C297" s="31"/>
      <c r="D297" s="31"/>
      <c r="E297" s="31"/>
      <c r="F297" s="31"/>
      <c r="G297" s="31"/>
      <c r="H297" s="31"/>
      <c r="I297" s="31"/>
      <c r="J297" s="31"/>
    </row>
    <row r="298" spans="1:10" x14ac:dyDescent="0.15">
      <c r="A298" s="31"/>
      <c r="B298" s="31"/>
      <c r="C298" s="31"/>
      <c r="D298" s="31"/>
      <c r="E298" s="31"/>
      <c r="F298" s="31"/>
      <c r="G298" s="31"/>
      <c r="H298" s="31"/>
      <c r="I298" s="31"/>
      <c r="J298" s="31"/>
    </row>
    <row r="299" spans="1:10" x14ac:dyDescent="0.15">
      <c r="A299" s="31"/>
      <c r="B299" s="31"/>
      <c r="C299" s="31"/>
      <c r="D299" s="31"/>
      <c r="E299" s="31"/>
      <c r="F299" s="31"/>
      <c r="G299" s="31"/>
      <c r="H299" s="31"/>
      <c r="I299" s="31"/>
      <c r="J299" s="31"/>
    </row>
    <row r="300" spans="1:10" x14ac:dyDescent="0.15">
      <c r="A300" s="31"/>
      <c r="B300" s="31"/>
      <c r="C300" s="31"/>
      <c r="D300" s="31"/>
      <c r="E300" s="31"/>
      <c r="F300" s="31"/>
      <c r="G300" s="31"/>
      <c r="H300" s="31"/>
      <c r="I300" s="31"/>
      <c r="J300" s="31"/>
    </row>
    <row r="301" spans="1:10" x14ac:dyDescent="0.15">
      <c r="A301" s="31"/>
      <c r="B301" s="31"/>
      <c r="C301" s="31"/>
      <c r="D301" s="31"/>
      <c r="E301" s="31"/>
      <c r="F301" s="31"/>
      <c r="G301" s="31"/>
      <c r="H301" s="31"/>
      <c r="I301" s="31"/>
      <c r="J301" s="31"/>
    </row>
    <row r="302" spans="1:10" x14ac:dyDescent="0.15">
      <c r="A302" s="31"/>
      <c r="B302" s="31"/>
      <c r="C302" s="31"/>
      <c r="D302" s="31"/>
      <c r="E302" s="31"/>
      <c r="F302" s="31"/>
      <c r="G302" s="31"/>
      <c r="H302" s="31"/>
      <c r="I302" s="31"/>
      <c r="J302" s="31"/>
    </row>
    <row r="303" spans="1:10" x14ac:dyDescent="0.15">
      <c r="A303" s="31"/>
      <c r="B303" s="31"/>
      <c r="C303" s="31"/>
      <c r="D303" s="31"/>
      <c r="E303" s="31"/>
      <c r="F303" s="31"/>
      <c r="G303" s="31"/>
      <c r="H303" s="31"/>
      <c r="I303" s="31"/>
      <c r="J303" s="31"/>
    </row>
    <row r="304" spans="1:10" x14ac:dyDescent="0.15">
      <c r="A304" s="31"/>
      <c r="B304" s="31"/>
      <c r="C304" s="31"/>
      <c r="D304" s="31"/>
      <c r="E304" s="31"/>
      <c r="F304" s="31"/>
      <c r="G304" s="31"/>
      <c r="H304" s="31"/>
      <c r="I304" s="31"/>
      <c r="J304" s="31"/>
    </row>
    <row r="305" spans="1:10" x14ac:dyDescent="0.15">
      <c r="A305" s="31"/>
      <c r="B305" s="31"/>
      <c r="C305" s="31"/>
      <c r="D305" s="31"/>
      <c r="E305" s="31"/>
      <c r="F305" s="31"/>
      <c r="G305" s="31"/>
      <c r="H305" s="31"/>
      <c r="I305" s="31"/>
      <c r="J305" s="31"/>
    </row>
    <row r="306" spans="1:10" x14ac:dyDescent="0.15">
      <c r="A306" s="31"/>
      <c r="B306" s="31"/>
      <c r="C306" s="31"/>
      <c r="D306" s="31"/>
      <c r="E306" s="31"/>
      <c r="F306" s="31"/>
      <c r="G306" s="31"/>
      <c r="H306" s="31"/>
      <c r="I306" s="31"/>
      <c r="J306" s="31"/>
    </row>
    <row r="307" spans="1:10" x14ac:dyDescent="0.15">
      <c r="A307" s="31"/>
      <c r="B307" s="31"/>
      <c r="C307" s="31"/>
      <c r="D307" s="31"/>
      <c r="E307" s="31"/>
      <c r="F307" s="31"/>
      <c r="G307" s="31"/>
      <c r="H307" s="31"/>
      <c r="I307" s="31"/>
      <c r="J307" s="31"/>
    </row>
    <row r="308" spans="1:10" x14ac:dyDescent="0.15">
      <c r="A308" s="31"/>
      <c r="B308" s="31"/>
      <c r="C308" s="31"/>
      <c r="D308" s="31"/>
      <c r="E308" s="31"/>
      <c r="F308" s="31"/>
      <c r="G308" s="31"/>
      <c r="H308" s="31"/>
      <c r="I308" s="31"/>
      <c r="J308" s="31"/>
    </row>
    <row r="309" spans="1:10" x14ac:dyDescent="0.15">
      <c r="A309" s="31"/>
      <c r="B309" s="31"/>
      <c r="C309" s="31"/>
      <c r="D309" s="31"/>
      <c r="E309" s="31"/>
      <c r="F309" s="31"/>
      <c r="G309" s="31"/>
      <c r="H309" s="31"/>
      <c r="I309" s="31"/>
      <c r="J309" s="31"/>
    </row>
    <row r="310" spans="1:10" x14ac:dyDescent="0.15">
      <c r="A310" s="31"/>
      <c r="B310" s="31"/>
      <c r="C310" s="31"/>
      <c r="D310" s="31"/>
      <c r="E310" s="31"/>
      <c r="F310" s="31"/>
      <c r="G310" s="31"/>
      <c r="H310" s="31"/>
      <c r="I310" s="31"/>
      <c r="J310" s="31"/>
    </row>
    <row r="311" spans="1:10" x14ac:dyDescent="0.15">
      <c r="A311" s="31"/>
      <c r="B311" s="31"/>
      <c r="C311" s="31"/>
      <c r="D311" s="31"/>
      <c r="E311" s="31"/>
      <c r="F311" s="31"/>
      <c r="G311" s="31"/>
      <c r="H311" s="31"/>
      <c r="I311" s="31"/>
      <c r="J311" s="31"/>
    </row>
    <row r="312" spans="1:10" x14ac:dyDescent="0.15">
      <c r="A312" s="31"/>
      <c r="B312" s="31"/>
      <c r="C312" s="31"/>
      <c r="D312" s="31"/>
      <c r="E312" s="31"/>
      <c r="F312" s="31"/>
      <c r="G312" s="31"/>
      <c r="H312" s="31"/>
      <c r="I312" s="31"/>
      <c r="J312" s="31"/>
    </row>
    <row r="313" spans="1:10" x14ac:dyDescent="0.15">
      <c r="A313" s="31"/>
      <c r="B313" s="31"/>
      <c r="C313" s="31"/>
      <c r="D313" s="31"/>
      <c r="E313" s="31"/>
      <c r="F313" s="31"/>
      <c r="G313" s="31"/>
      <c r="H313" s="31"/>
      <c r="I313" s="31"/>
      <c r="J313" s="31"/>
    </row>
    <row r="314" spans="1:10" x14ac:dyDescent="0.15">
      <c r="A314" s="31"/>
      <c r="B314" s="31"/>
      <c r="C314" s="31"/>
      <c r="D314" s="31"/>
      <c r="E314" s="31"/>
      <c r="F314" s="31"/>
      <c r="G314" s="31"/>
      <c r="H314" s="31"/>
      <c r="I314" s="31"/>
      <c r="J314" s="31"/>
    </row>
    <row r="315" spans="1:10" x14ac:dyDescent="0.15">
      <c r="A315" s="31"/>
      <c r="B315" s="31"/>
      <c r="C315" s="31"/>
      <c r="D315" s="31"/>
      <c r="E315" s="31"/>
      <c r="F315" s="31"/>
      <c r="G315" s="31"/>
      <c r="H315" s="31"/>
      <c r="I315" s="31"/>
      <c r="J315" s="31"/>
    </row>
    <row r="316" spans="1:10" x14ac:dyDescent="0.15">
      <c r="A316" s="31"/>
      <c r="B316" s="31"/>
      <c r="C316" s="31"/>
      <c r="D316" s="31"/>
      <c r="E316" s="31"/>
      <c r="F316" s="31"/>
      <c r="G316" s="31"/>
      <c r="H316" s="31"/>
      <c r="I316" s="31"/>
      <c r="J316" s="31"/>
    </row>
    <row r="317" spans="1:10" x14ac:dyDescent="0.15">
      <c r="A317" s="31"/>
      <c r="B317" s="31"/>
      <c r="C317" s="31"/>
      <c r="D317" s="31"/>
      <c r="E317" s="31"/>
      <c r="F317" s="31"/>
      <c r="G317" s="31"/>
      <c r="H317" s="31"/>
      <c r="I317" s="31"/>
      <c r="J317" s="31"/>
    </row>
    <row r="318" spans="1:10" x14ac:dyDescent="0.15">
      <c r="A318" s="31"/>
      <c r="B318" s="31"/>
      <c r="C318" s="31"/>
      <c r="D318" s="31"/>
      <c r="E318" s="31"/>
      <c r="F318" s="31"/>
      <c r="G318" s="31"/>
      <c r="H318" s="31"/>
      <c r="I318" s="31"/>
      <c r="J318" s="31"/>
    </row>
    <row r="319" spans="1:10" x14ac:dyDescent="0.15">
      <c r="A319" s="31"/>
      <c r="B319" s="31"/>
      <c r="C319" s="31"/>
      <c r="D319" s="31"/>
      <c r="E319" s="31"/>
      <c r="F319" s="31"/>
      <c r="G319" s="31"/>
      <c r="H319" s="31"/>
      <c r="I319" s="31"/>
      <c r="J319" s="31"/>
    </row>
    <row r="320" spans="1:10" x14ac:dyDescent="0.15">
      <c r="A320" s="31"/>
      <c r="B320" s="31"/>
      <c r="C320" s="31"/>
      <c r="D320" s="31"/>
      <c r="E320" s="31"/>
      <c r="F320" s="31"/>
      <c r="G320" s="31"/>
      <c r="H320" s="31"/>
      <c r="I320" s="31"/>
      <c r="J320" s="31"/>
    </row>
    <row r="321" spans="1:10" x14ac:dyDescent="0.15">
      <c r="A321" s="31"/>
      <c r="B321" s="31"/>
      <c r="C321" s="31"/>
      <c r="D321" s="31"/>
      <c r="E321" s="31"/>
      <c r="F321" s="31"/>
      <c r="G321" s="31"/>
      <c r="H321" s="31"/>
      <c r="I321" s="31"/>
      <c r="J321" s="31"/>
    </row>
    <row r="322" spans="1:10" x14ac:dyDescent="0.15">
      <c r="A322" s="31"/>
      <c r="B322" s="31"/>
      <c r="C322" s="31"/>
      <c r="D322" s="31"/>
      <c r="E322" s="31"/>
      <c r="F322" s="31"/>
      <c r="G322" s="31"/>
      <c r="H322" s="31"/>
      <c r="I322" s="31"/>
      <c r="J322" s="31"/>
    </row>
    <row r="323" spans="1:10" x14ac:dyDescent="0.15">
      <c r="A323" s="31"/>
      <c r="B323" s="31"/>
      <c r="C323" s="31"/>
      <c r="D323" s="31"/>
      <c r="E323" s="31"/>
      <c r="F323" s="31"/>
      <c r="G323" s="31"/>
      <c r="H323" s="31"/>
      <c r="I323" s="31"/>
      <c r="J323" s="31"/>
    </row>
    <row r="324" spans="1:10" x14ac:dyDescent="0.15">
      <c r="A324" s="31"/>
      <c r="B324" s="31"/>
      <c r="C324" s="31"/>
      <c r="D324" s="31"/>
      <c r="E324" s="31"/>
      <c r="F324" s="31"/>
      <c r="G324" s="31"/>
      <c r="H324" s="31"/>
      <c r="I324" s="31"/>
      <c r="J324" s="31"/>
    </row>
    <row r="325" spans="1:10" x14ac:dyDescent="0.15">
      <c r="A325" s="31"/>
      <c r="B325" s="31"/>
      <c r="C325" s="31"/>
      <c r="D325" s="31"/>
      <c r="E325" s="31"/>
      <c r="F325" s="31"/>
      <c r="G325" s="31"/>
      <c r="H325" s="31"/>
      <c r="I325" s="31"/>
      <c r="J325" s="31"/>
    </row>
    <row r="326" spans="1:10" x14ac:dyDescent="0.15">
      <c r="A326" s="31"/>
      <c r="B326" s="31"/>
      <c r="C326" s="31"/>
      <c r="D326" s="31"/>
      <c r="E326" s="31"/>
      <c r="F326" s="31"/>
      <c r="G326" s="31"/>
      <c r="H326" s="31"/>
      <c r="I326" s="31"/>
      <c r="J326" s="31"/>
    </row>
    <row r="327" spans="1:10" x14ac:dyDescent="0.15">
      <c r="A327" s="31"/>
      <c r="B327" s="31"/>
      <c r="C327" s="31"/>
      <c r="D327" s="31"/>
      <c r="E327" s="31"/>
      <c r="F327" s="31"/>
      <c r="G327" s="31"/>
      <c r="H327" s="31"/>
      <c r="I327" s="31"/>
      <c r="J327" s="31"/>
    </row>
    <row r="328" spans="1:10" x14ac:dyDescent="0.15">
      <c r="A328" s="31"/>
      <c r="B328" s="31"/>
      <c r="C328" s="31"/>
      <c r="D328" s="31"/>
      <c r="E328" s="31"/>
      <c r="F328" s="31"/>
      <c r="G328" s="31"/>
      <c r="H328" s="31"/>
      <c r="I328" s="31"/>
      <c r="J328" s="31"/>
    </row>
    <row r="329" spans="1:10" x14ac:dyDescent="0.15">
      <c r="A329" s="31"/>
      <c r="B329" s="31"/>
      <c r="C329" s="31"/>
      <c r="D329" s="31"/>
      <c r="E329" s="31"/>
      <c r="F329" s="31"/>
      <c r="G329" s="31"/>
      <c r="H329" s="31"/>
      <c r="I329" s="31"/>
      <c r="J329" s="31"/>
    </row>
    <row r="330" spans="1:10" x14ac:dyDescent="0.15">
      <c r="A330" s="31"/>
      <c r="B330" s="31"/>
      <c r="C330" s="31"/>
      <c r="D330" s="31"/>
      <c r="E330" s="31"/>
      <c r="F330" s="31"/>
      <c r="G330" s="31"/>
      <c r="H330" s="31"/>
      <c r="I330" s="31"/>
      <c r="J330" s="31"/>
    </row>
    <row r="331" spans="1:10" x14ac:dyDescent="0.15">
      <c r="A331" s="31"/>
      <c r="B331" s="31"/>
      <c r="C331" s="31"/>
      <c r="D331" s="31"/>
      <c r="E331" s="31"/>
      <c r="F331" s="31"/>
      <c r="G331" s="31"/>
      <c r="H331" s="31"/>
      <c r="I331" s="31"/>
      <c r="J331" s="31"/>
    </row>
    <row r="332" spans="1:10" x14ac:dyDescent="0.15">
      <c r="A332" s="31"/>
      <c r="B332" s="31"/>
      <c r="C332" s="31"/>
      <c r="D332" s="31"/>
      <c r="E332" s="31"/>
      <c r="F332" s="31"/>
      <c r="G332" s="31"/>
      <c r="H332" s="31"/>
      <c r="I332" s="31"/>
      <c r="J332" s="31"/>
    </row>
    <row r="333" spans="1:10" x14ac:dyDescent="0.15">
      <c r="A333" s="31"/>
      <c r="B333" s="31"/>
      <c r="C333" s="31"/>
      <c r="D333" s="31"/>
      <c r="E333" s="31"/>
      <c r="F333" s="31"/>
      <c r="G333" s="31"/>
      <c r="H333" s="31"/>
      <c r="I333" s="31"/>
      <c r="J333" s="31"/>
    </row>
    <row r="334" spans="1:10" x14ac:dyDescent="0.15">
      <c r="A334" s="31"/>
      <c r="B334" s="31"/>
      <c r="C334" s="31"/>
      <c r="D334" s="31"/>
      <c r="E334" s="31"/>
      <c r="F334" s="31"/>
      <c r="G334" s="31"/>
      <c r="H334" s="31"/>
      <c r="I334" s="31"/>
      <c r="J334" s="31"/>
    </row>
    <row r="335" spans="1:10" x14ac:dyDescent="0.15">
      <c r="A335" s="31"/>
      <c r="B335" s="31"/>
      <c r="C335" s="31"/>
      <c r="D335" s="31"/>
      <c r="E335" s="31"/>
      <c r="F335" s="31"/>
      <c r="G335" s="31"/>
      <c r="H335" s="31"/>
      <c r="I335" s="31"/>
      <c r="J335" s="31"/>
    </row>
    <row r="336" spans="1:10" x14ac:dyDescent="0.15">
      <c r="A336" s="31"/>
      <c r="B336" s="31"/>
      <c r="C336" s="31"/>
      <c r="D336" s="31"/>
      <c r="E336" s="31"/>
      <c r="F336" s="31"/>
      <c r="G336" s="31"/>
      <c r="H336" s="31"/>
      <c r="I336" s="31"/>
      <c r="J336" s="31"/>
    </row>
    <row r="337" spans="1:10" x14ac:dyDescent="0.15">
      <c r="A337" s="31"/>
      <c r="B337" s="31"/>
      <c r="C337" s="31"/>
      <c r="D337" s="31"/>
      <c r="E337" s="31"/>
      <c r="F337" s="31"/>
      <c r="G337" s="31"/>
      <c r="H337" s="31"/>
      <c r="I337" s="31"/>
      <c r="J337" s="31"/>
    </row>
    <row r="338" spans="1:10" x14ac:dyDescent="0.15">
      <c r="A338" s="31"/>
      <c r="B338" s="31"/>
      <c r="C338" s="31"/>
      <c r="D338" s="31"/>
      <c r="E338" s="31"/>
      <c r="F338" s="31"/>
      <c r="G338" s="31"/>
      <c r="H338" s="31"/>
      <c r="I338" s="31"/>
      <c r="J338" s="31"/>
    </row>
    <row r="339" spans="1:10" x14ac:dyDescent="0.15">
      <c r="A339" s="31"/>
      <c r="B339" s="31"/>
      <c r="C339" s="31"/>
      <c r="D339" s="31"/>
      <c r="E339" s="31"/>
      <c r="F339" s="31"/>
      <c r="G339" s="31"/>
      <c r="H339" s="31"/>
      <c r="I339" s="31"/>
      <c r="J339" s="31"/>
    </row>
    <row r="340" spans="1:10" x14ac:dyDescent="0.15">
      <c r="A340" s="31"/>
      <c r="B340" s="31"/>
      <c r="C340" s="31"/>
      <c r="D340" s="31"/>
      <c r="E340" s="31"/>
      <c r="F340" s="31"/>
      <c r="G340" s="31"/>
      <c r="H340" s="31"/>
      <c r="I340" s="31"/>
      <c r="J340" s="31"/>
    </row>
    <row r="341" spans="1:10" x14ac:dyDescent="0.15">
      <c r="A341" s="31"/>
      <c r="B341" s="31"/>
      <c r="C341" s="31"/>
      <c r="D341" s="31"/>
      <c r="E341" s="31"/>
      <c r="F341" s="31"/>
      <c r="G341" s="31"/>
      <c r="H341" s="31"/>
      <c r="I341" s="31"/>
      <c r="J341" s="31"/>
    </row>
    <row r="342" spans="1:10" x14ac:dyDescent="0.15">
      <c r="A342" s="31"/>
      <c r="B342" s="31"/>
      <c r="C342" s="31"/>
      <c r="D342" s="31"/>
      <c r="E342" s="31"/>
      <c r="F342" s="31"/>
      <c r="G342" s="31"/>
      <c r="H342" s="31"/>
      <c r="I342" s="31"/>
      <c r="J342" s="31"/>
    </row>
    <row r="343" spans="1:10" x14ac:dyDescent="0.15">
      <c r="A343" s="31"/>
      <c r="B343" s="31"/>
      <c r="C343" s="31"/>
      <c r="D343" s="31"/>
      <c r="E343" s="31"/>
      <c r="F343" s="31"/>
      <c r="G343" s="31"/>
      <c r="H343" s="31"/>
      <c r="I343" s="31"/>
      <c r="J343" s="31"/>
    </row>
    <row r="344" spans="1:10" x14ac:dyDescent="0.15">
      <c r="A344" s="31"/>
      <c r="B344" s="31"/>
      <c r="C344" s="31"/>
      <c r="D344" s="31"/>
      <c r="E344" s="31"/>
      <c r="F344" s="31"/>
      <c r="G344" s="31"/>
      <c r="H344" s="31"/>
      <c r="I344" s="31"/>
      <c r="J344" s="31"/>
    </row>
    <row r="345" spans="1:10" x14ac:dyDescent="0.15">
      <c r="A345" s="31"/>
      <c r="B345" s="31"/>
      <c r="C345" s="31"/>
      <c r="D345" s="31"/>
      <c r="E345" s="31"/>
      <c r="F345" s="31"/>
      <c r="G345" s="31"/>
      <c r="H345" s="31"/>
      <c r="I345" s="31"/>
      <c r="J345" s="31"/>
    </row>
    <row r="346" spans="1:10" x14ac:dyDescent="0.15">
      <c r="A346" s="31"/>
      <c r="B346" s="31"/>
      <c r="C346" s="31"/>
      <c r="D346" s="31"/>
      <c r="E346" s="31"/>
      <c r="F346" s="31"/>
      <c r="G346" s="31"/>
      <c r="H346" s="31"/>
      <c r="I346" s="31"/>
      <c r="J346" s="31"/>
    </row>
    <row r="347" spans="1:10" x14ac:dyDescent="0.15">
      <c r="A347" s="31"/>
      <c r="B347" s="31"/>
      <c r="C347" s="31"/>
      <c r="D347" s="31"/>
      <c r="E347" s="31"/>
      <c r="F347" s="31"/>
      <c r="G347" s="31"/>
      <c r="H347" s="31"/>
      <c r="I347" s="31"/>
      <c r="J347" s="31"/>
    </row>
    <row r="348" spans="1:10" x14ac:dyDescent="0.15">
      <c r="A348" s="31"/>
      <c r="B348" s="31"/>
      <c r="C348" s="31"/>
      <c r="D348" s="31"/>
      <c r="E348" s="31"/>
      <c r="F348" s="31"/>
      <c r="G348" s="31"/>
      <c r="H348" s="31"/>
      <c r="I348" s="31"/>
      <c r="J348" s="31"/>
    </row>
    <row r="349" spans="1:10" x14ac:dyDescent="0.15">
      <c r="A349" s="31"/>
      <c r="B349" s="31"/>
      <c r="C349" s="31"/>
      <c r="D349" s="31"/>
      <c r="E349" s="31"/>
      <c r="F349" s="31"/>
      <c r="G349" s="31"/>
      <c r="H349" s="31"/>
      <c r="I349" s="31"/>
      <c r="J349" s="31"/>
    </row>
    <row r="350" spans="1:10" x14ac:dyDescent="0.15">
      <c r="A350" s="31"/>
      <c r="B350" s="31"/>
      <c r="C350" s="31"/>
      <c r="D350" s="31"/>
      <c r="E350" s="31"/>
      <c r="F350" s="31"/>
      <c r="G350" s="31"/>
      <c r="H350" s="31"/>
      <c r="I350" s="31"/>
      <c r="J350" s="31"/>
    </row>
    <row r="351" spans="1:10" x14ac:dyDescent="0.15">
      <c r="A351" s="31"/>
      <c r="B351" s="31"/>
      <c r="C351" s="31"/>
      <c r="D351" s="31"/>
      <c r="E351" s="31"/>
      <c r="F351" s="31"/>
      <c r="G351" s="31"/>
      <c r="H351" s="31"/>
      <c r="I351" s="31"/>
      <c r="J351" s="31"/>
    </row>
    <row r="352" spans="1:10" x14ac:dyDescent="0.15">
      <c r="A352" s="31"/>
      <c r="B352" s="31"/>
      <c r="C352" s="31"/>
      <c r="D352" s="31"/>
      <c r="E352" s="31"/>
      <c r="F352" s="31"/>
      <c r="G352" s="31"/>
      <c r="H352" s="31"/>
      <c r="I352" s="31"/>
      <c r="J352" s="31"/>
    </row>
    <row r="353" spans="1:10" x14ac:dyDescent="0.15">
      <c r="A353" s="31"/>
      <c r="B353" s="31"/>
      <c r="C353" s="31"/>
      <c r="D353" s="31"/>
      <c r="E353" s="31"/>
      <c r="F353" s="31"/>
      <c r="G353" s="31"/>
      <c r="H353" s="31"/>
      <c r="I353" s="31"/>
      <c r="J353" s="31"/>
    </row>
  </sheetData>
  <phoneticPr fontId="3" type="noConversion"/>
  <pageMargins left="0.25" right="0.2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21"/>
  <sheetViews>
    <sheetView zoomScale="130" workbookViewId="0">
      <selection activeCell="E21" sqref="E21"/>
    </sheetView>
  </sheetViews>
  <sheetFormatPr baseColWidth="10" defaultColWidth="9" defaultRowHeight="13" x14ac:dyDescent="0.15"/>
  <cols>
    <col min="1" max="1" width="15" customWidth="1"/>
    <col min="2" max="2" width="11.3984375" bestFit="1" customWidth="1"/>
    <col min="3" max="13" width="10.3984375" customWidth="1"/>
    <col min="14" max="14" width="12" customWidth="1"/>
    <col min="15" max="15" width="9" bestFit="1" customWidth="1"/>
    <col min="16" max="16" width="10.796875" customWidth="1"/>
  </cols>
  <sheetData>
    <row r="2" spans="1:14" ht="14" thickBot="1" x14ac:dyDescent="0.2"/>
    <row r="3" spans="1:14" ht="14" thickBot="1" x14ac:dyDescent="0.2">
      <c r="B3" s="128" t="s">
        <v>70</v>
      </c>
      <c r="C3" s="129"/>
      <c r="D3" s="129"/>
      <c r="E3" s="129"/>
      <c r="F3" s="129"/>
      <c r="G3" s="129"/>
      <c r="H3" s="129"/>
      <c r="I3" s="129"/>
      <c r="J3" s="129"/>
      <c r="K3" s="129"/>
      <c r="L3" s="129"/>
      <c r="M3" s="130"/>
      <c r="N3" s="126" t="s">
        <v>73</v>
      </c>
    </row>
    <row r="4" spans="1:14" ht="14" thickBot="1" x14ac:dyDescent="0.2">
      <c r="A4" s="88" t="s">
        <v>69</v>
      </c>
      <c r="B4" s="43">
        <v>1</v>
      </c>
      <c r="C4" s="43">
        <v>2</v>
      </c>
      <c r="D4" s="43">
        <v>3</v>
      </c>
      <c r="E4" s="43">
        <v>4</v>
      </c>
      <c r="F4" s="43">
        <v>5</v>
      </c>
      <c r="G4" s="43">
        <v>6</v>
      </c>
      <c r="H4" s="43">
        <v>7</v>
      </c>
      <c r="I4" s="43">
        <v>8</v>
      </c>
      <c r="J4" s="43">
        <v>9</v>
      </c>
      <c r="K4" s="43">
        <v>10</v>
      </c>
      <c r="L4" s="43">
        <v>11</v>
      </c>
      <c r="M4" s="43">
        <v>12</v>
      </c>
      <c r="N4" s="127"/>
    </row>
    <row r="5" spans="1:14" ht="14" thickBot="1" x14ac:dyDescent="0.2">
      <c r="A5" s="88" t="s">
        <v>71</v>
      </c>
      <c r="B5" s="87">
        <f>CEILING(0*$C$20,1)</f>
        <v>0</v>
      </c>
      <c r="C5" s="87">
        <f>(CEILING(0.1*$C$20,1))</f>
        <v>50</v>
      </c>
      <c r="D5" s="87">
        <f>CEILING(0*$C$20,1)</f>
        <v>0</v>
      </c>
      <c r="E5" s="87">
        <f>(CEILING((0.1*$C$20),1))</f>
        <v>50</v>
      </c>
      <c r="F5" s="87">
        <f>(CEILING((0.2*$C$20),1))</f>
        <v>100</v>
      </c>
      <c r="G5" s="87">
        <f>CEILING(0*$C$20,1)</f>
        <v>0</v>
      </c>
      <c r="H5" s="87">
        <f>(CEILING((0.1*$C$20),1))</f>
        <v>50</v>
      </c>
      <c r="I5" s="87">
        <f>(CEILING((0.2*$C$20),1))</f>
        <v>100</v>
      </c>
      <c r="J5" s="87">
        <f>(CEILING((0.1*$C$20),1))</f>
        <v>50</v>
      </c>
      <c r="K5" s="87">
        <f>(CEILING((0.1*$C$20),1))</f>
        <v>50</v>
      </c>
      <c r="L5" s="87">
        <f>CEILING(0*$C$20,1)</f>
        <v>0</v>
      </c>
      <c r="M5" s="87">
        <f>(CEILING((0.1*$C$20),1))</f>
        <v>50</v>
      </c>
      <c r="N5" s="87">
        <f>SUM(B5:M5)</f>
        <v>500</v>
      </c>
    </row>
    <row r="6" spans="1:14" ht="14" thickBot="1" x14ac:dyDescent="0.2">
      <c r="A6" s="88" t="s">
        <v>160</v>
      </c>
      <c r="B6" s="87">
        <v>50</v>
      </c>
      <c r="C6" s="87">
        <v>50</v>
      </c>
      <c r="D6" s="87">
        <v>100</v>
      </c>
      <c r="E6" s="87">
        <v>100</v>
      </c>
      <c r="F6" s="87">
        <v>25</v>
      </c>
      <c r="G6" s="87">
        <v>25</v>
      </c>
      <c r="H6" s="87">
        <v>25</v>
      </c>
      <c r="I6" s="87">
        <v>25</v>
      </c>
      <c r="J6" s="87">
        <v>75</v>
      </c>
      <c r="K6" s="87">
        <v>25</v>
      </c>
      <c r="L6" s="87">
        <v>50</v>
      </c>
      <c r="M6" s="87">
        <v>125</v>
      </c>
      <c r="N6" s="87"/>
    </row>
    <row r="7" spans="1:14" ht="14" thickBot="1" x14ac:dyDescent="0.2">
      <c r="A7" s="88" t="s">
        <v>161</v>
      </c>
      <c r="B7" s="87">
        <f>B6-B5</f>
        <v>50</v>
      </c>
      <c r="C7" s="87">
        <f t="shared" ref="C7:M7" si="0">C6-C5</f>
        <v>0</v>
      </c>
      <c r="D7" s="87">
        <f t="shared" si="0"/>
        <v>100</v>
      </c>
      <c r="E7" s="87">
        <f t="shared" si="0"/>
        <v>50</v>
      </c>
      <c r="F7" s="87">
        <f t="shared" si="0"/>
        <v>-75</v>
      </c>
      <c r="G7" s="87">
        <f t="shared" si="0"/>
        <v>25</v>
      </c>
      <c r="H7" s="87">
        <f t="shared" si="0"/>
        <v>-25</v>
      </c>
      <c r="I7" s="87">
        <f t="shared" si="0"/>
        <v>-75</v>
      </c>
      <c r="J7" s="87">
        <f t="shared" si="0"/>
        <v>25</v>
      </c>
      <c r="K7" s="87">
        <f t="shared" si="0"/>
        <v>-25</v>
      </c>
      <c r="L7" s="87">
        <f t="shared" si="0"/>
        <v>50</v>
      </c>
      <c r="M7" s="87">
        <f t="shared" si="0"/>
        <v>75</v>
      </c>
      <c r="N7" s="87"/>
    </row>
    <row r="8" spans="1:14" ht="14" thickBot="1" x14ac:dyDescent="0.2">
      <c r="A8" s="88"/>
      <c r="B8" s="87"/>
      <c r="C8" s="87"/>
      <c r="D8" s="87"/>
      <c r="E8" s="87"/>
      <c r="F8" s="87"/>
      <c r="G8" s="87"/>
      <c r="H8" s="87"/>
      <c r="I8" s="87"/>
      <c r="J8" s="87"/>
      <c r="K8" s="87"/>
      <c r="L8" s="87"/>
      <c r="M8" s="87"/>
      <c r="N8" s="87"/>
    </row>
    <row r="9" spans="1:14" s="1" customFormat="1" ht="14" thickBot="1" x14ac:dyDescent="0.2">
      <c r="A9" s="88" t="s">
        <v>72</v>
      </c>
      <c r="B9" s="87">
        <f>CEILING(0*$C$21,1)</f>
        <v>0</v>
      </c>
      <c r="C9" s="87">
        <f>CEILING(0*$C$21,1)</f>
        <v>0</v>
      </c>
      <c r="D9" s="87">
        <f>(CEILING((0.2*$C$21),1))</f>
        <v>100</v>
      </c>
      <c r="E9" s="87">
        <f>CEILING(0*$C$21,1)</f>
        <v>0</v>
      </c>
      <c r="F9" s="87">
        <f>(CEILING((0.1*$C$21),1))</f>
        <v>50</v>
      </c>
      <c r="G9" s="87">
        <f>CEILING(0*$C$21,1)</f>
        <v>0</v>
      </c>
      <c r="H9" s="87">
        <f>(CEILING((0.2*$C$21),1))</f>
        <v>100</v>
      </c>
      <c r="I9" s="87">
        <f>(CEILING((0.2*$C$21),1))</f>
        <v>100</v>
      </c>
      <c r="J9" s="87">
        <f>(CEILING((0.1*$C$21),1))</f>
        <v>50</v>
      </c>
      <c r="K9" s="87">
        <f>(CEILING((0.1*$C$21),1))</f>
        <v>50</v>
      </c>
      <c r="L9" s="87">
        <f>(CEILING((0.1*$C$21),1))</f>
        <v>50</v>
      </c>
      <c r="M9" s="87">
        <f>CEILING(0*$C$21,1)</f>
        <v>0</v>
      </c>
      <c r="N9" s="87">
        <f>SUM(B9:M9)</f>
        <v>500</v>
      </c>
    </row>
    <row r="10" spans="1:14" ht="14" thickBot="1" x14ac:dyDescent="0.2">
      <c r="A10" s="88" t="s">
        <v>160</v>
      </c>
      <c r="B10" s="87">
        <v>25</v>
      </c>
      <c r="C10" s="87">
        <v>25</v>
      </c>
      <c r="D10" s="87">
        <v>100</v>
      </c>
      <c r="E10" s="87">
        <v>100</v>
      </c>
      <c r="F10" s="87">
        <v>75</v>
      </c>
      <c r="G10" s="87">
        <v>75</v>
      </c>
      <c r="H10" s="87">
        <v>25</v>
      </c>
      <c r="I10" s="87">
        <v>25</v>
      </c>
      <c r="J10" s="87">
        <v>75</v>
      </c>
      <c r="K10" s="87">
        <v>25</v>
      </c>
      <c r="L10" s="87">
        <v>25</v>
      </c>
      <c r="M10" s="87">
        <v>125</v>
      </c>
      <c r="N10" s="87"/>
    </row>
    <row r="11" spans="1:14" ht="14" thickBot="1" x14ac:dyDescent="0.2">
      <c r="A11" s="88" t="s">
        <v>161</v>
      </c>
      <c r="B11" s="87">
        <f t="shared" ref="B11:M11" si="1">B10-B9</f>
        <v>25</v>
      </c>
      <c r="C11" s="87">
        <f t="shared" si="1"/>
        <v>25</v>
      </c>
      <c r="D11" s="87">
        <f t="shared" si="1"/>
        <v>0</v>
      </c>
      <c r="E11" s="87">
        <f t="shared" si="1"/>
        <v>100</v>
      </c>
      <c r="F11" s="87">
        <f t="shared" si="1"/>
        <v>25</v>
      </c>
      <c r="G11" s="87">
        <f t="shared" si="1"/>
        <v>75</v>
      </c>
      <c r="H11" s="87">
        <f t="shared" si="1"/>
        <v>-75</v>
      </c>
      <c r="I11" s="87">
        <f t="shared" si="1"/>
        <v>-75</v>
      </c>
      <c r="J11" s="87">
        <f t="shared" si="1"/>
        <v>25</v>
      </c>
      <c r="K11" s="87">
        <f t="shared" si="1"/>
        <v>-25</v>
      </c>
      <c r="L11" s="87">
        <f t="shared" si="1"/>
        <v>-25</v>
      </c>
      <c r="M11" s="87">
        <f t="shared" si="1"/>
        <v>125</v>
      </c>
      <c r="N11" s="87"/>
    </row>
    <row r="12" spans="1:14" s="1" customFormat="1" x14ac:dyDescent="0.15">
      <c r="A12" s="31"/>
      <c r="B12" s="26"/>
      <c r="C12" s="26"/>
      <c r="D12" s="26"/>
      <c r="E12" s="26"/>
      <c r="F12" s="26"/>
      <c r="G12" s="26"/>
      <c r="H12" s="26"/>
      <c r="I12" s="26"/>
      <c r="J12" s="26"/>
      <c r="K12" s="26"/>
      <c r="L12" s="26"/>
      <c r="M12" s="26"/>
      <c r="N12" s="26"/>
    </row>
    <row r="13" spans="1:14" s="31" customFormat="1" ht="14" thickBot="1" x14ac:dyDescent="0.2">
      <c r="A13" s="97"/>
      <c r="B13" s="98"/>
      <c r="C13" s="98"/>
      <c r="D13" s="98"/>
      <c r="E13" s="98"/>
      <c r="F13" s="98"/>
      <c r="G13" s="98"/>
      <c r="H13" s="98"/>
      <c r="I13" s="98"/>
      <c r="J13" s="98"/>
      <c r="K13" s="98"/>
      <c r="L13" s="98"/>
      <c r="M13" s="98"/>
      <c r="N13" s="26"/>
    </row>
    <row r="14" spans="1:14" ht="14" thickBot="1" x14ac:dyDescent="0.2">
      <c r="A14" s="88" t="s">
        <v>73</v>
      </c>
      <c r="B14" s="87">
        <f t="shared" ref="B14:M14" si="2">B5+B9</f>
        <v>0</v>
      </c>
      <c r="C14" s="87">
        <f t="shared" si="2"/>
        <v>50</v>
      </c>
      <c r="D14" s="87">
        <f t="shared" si="2"/>
        <v>100</v>
      </c>
      <c r="E14" s="87">
        <f t="shared" si="2"/>
        <v>50</v>
      </c>
      <c r="F14" s="87">
        <f t="shared" si="2"/>
        <v>150</v>
      </c>
      <c r="G14" s="87">
        <f t="shared" si="2"/>
        <v>0</v>
      </c>
      <c r="H14" s="87">
        <f t="shared" si="2"/>
        <v>150</v>
      </c>
      <c r="I14" s="87">
        <f t="shared" si="2"/>
        <v>200</v>
      </c>
      <c r="J14" s="87">
        <f t="shared" si="2"/>
        <v>100</v>
      </c>
      <c r="K14" s="87">
        <f t="shared" si="2"/>
        <v>100</v>
      </c>
      <c r="L14" s="87">
        <f t="shared" si="2"/>
        <v>50</v>
      </c>
      <c r="M14" s="87">
        <f t="shared" si="2"/>
        <v>50</v>
      </c>
      <c r="N14" s="87">
        <f>SUM(B14:M14)</f>
        <v>1000</v>
      </c>
    </row>
    <row r="16" spans="1:14" ht="14" thickBot="1" x14ac:dyDescent="0.2">
      <c r="A16" s="39"/>
    </row>
    <row r="17" spans="1:5" x14ac:dyDescent="0.15">
      <c r="A17" s="39"/>
      <c r="B17" s="80" t="s">
        <v>36</v>
      </c>
      <c r="E17" s="40"/>
    </row>
    <row r="18" spans="1:5" ht="14" thickBot="1" x14ac:dyDescent="0.2">
      <c r="A18" s="79"/>
      <c r="B18" s="81">
        <v>1000</v>
      </c>
    </row>
    <row r="19" spans="1:5" ht="14" thickBot="1" x14ac:dyDescent="0.2"/>
    <row r="20" spans="1:5" ht="14" thickBot="1" x14ac:dyDescent="0.2">
      <c r="A20" s="84" t="s">
        <v>34</v>
      </c>
      <c r="B20" s="85"/>
      <c r="C20" s="86">
        <f>0.5*$B$18</f>
        <v>500</v>
      </c>
      <c r="E20" s="135" t="s">
        <v>172</v>
      </c>
    </row>
    <row r="21" spans="1:5" ht="14" thickBot="1" x14ac:dyDescent="0.2">
      <c r="A21" s="82" t="s">
        <v>35</v>
      </c>
      <c r="B21" s="83"/>
      <c r="C21" s="86">
        <f>0.5*$B$18</f>
        <v>500</v>
      </c>
    </row>
  </sheetData>
  <mergeCells count="2">
    <mergeCell ref="N3:N4"/>
    <mergeCell ref="B3:M3"/>
  </mergeCells>
  <phoneticPr fontId="3" type="noConversion"/>
  <pageMargins left="0.25" right="0.25" top="1" bottom="1" header="0.5" footer="0.5"/>
  <pageSetup paperSize="9" scale="93"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46"/>
  <sheetViews>
    <sheetView tabSelected="1" topLeftCell="A57" zoomScale="70" zoomScaleNormal="70" workbookViewId="0">
      <selection activeCell="A9" sqref="A9"/>
    </sheetView>
  </sheetViews>
  <sheetFormatPr baseColWidth="10" defaultColWidth="9" defaultRowHeight="13" x14ac:dyDescent="0.15"/>
  <cols>
    <col min="1" max="1" width="27" customWidth="1"/>
    <col min="2" max="2" width="13.3984375" bestFit="1" customWidth="1"/>
    <col min="3" max="3" width="22.3984375" bestFit="1" customWidth="1"/>
    <col min="4" max="11" width="20.59765625" bestFit="1" customWidth="1"/>
    <col min="12" max="12" width="17" customWidth="1"/>
    <col min="13" max="13" width="20.59765625" bestFit="1" customWidth="1"/>
    <col min="14" max="15" width="17" customWidth="1"/>
    <col min="16" max="16" width="11.3984375" customWidth="1"/>
    <col min="17" max="17" width="20.59765625" bestFit="1" customWidth="1"/>
  </cols>
  <sheetData>
    <row r="1" spans="1:17" ht="23" x14ac:dyDescent="0.25">
      <c r="A1" s="93" t="s">
        <v>84</v>
      </c>
      <c r="B1" s="45" t="s">
        <v>74</v>
      </c>
      <c r="C1" s="44"/>
      <c r="D1" s="44"/>
      <c r="E1" s="44"/>
      <c r="F1" s="44"/>
      <c r="G1" s="44" t="s">
        <v>75</v>
      </c>
      <c r="H1" s="44"/>
      <c r="I1" s="44"/>
      <c r="J1" s="44"/>
      <c r="K1" s="44"/>
      <c r="L1" s="44"/>
      <c r="M1" s="44"/>
      <c r="N1" s="44"/>
      <c r="O1" s="44"/>
    </row>
    <row r="2" spans="1:17" ht="23" x14ac:dyDescent="0.25">
      <c r="A2" s="45" t="s">
        <v>76</v>
      </c>
      <c r="B2" s="45" t="s">
        <v>85</v>
      </c>
      <c r="C2" s="45" t="s">
        <v>77</v>
      </c>
      <c r="D2" s="45">
        <v>1</v>
      </c>
      <c r="E2" s="45">
        <f>D2+1</f>
        <v>2</v>
      </c>
      <c r="F2" s="45">
        <f t="shared" ref="F2:O2" si="0">E2+1</f>
        <v>3</v>
      </c>
      <c r="G2" s="45">
        <f t="shared" si="0"/>
        <v>4</v>
      </c>
      <c r="H2" s="45">
        <f t="shared" si="0"/>
        <v>5</v>
      </c>
      <c r="I2" s="45">
        <f t="shared" si="0"/>
        <v>6</v>
      </c>
      <c r="J2" s="45">
        <f t="shared" si="0"/>
        <v>7</v>
      </c>
      <c r="K2" s="45">
        <f t="shared" si="0"/>
        <v>8</v>
      </c>
      <c r="L2" s="45">
        <f t="shared" si="0"/>
        <v>9</v>
      </c>
      <c r="M2" s="45">
        <f t="shared" si="0"/>
        <v>10</v>
      </c>
      <c r="N2" s="45">
        <f t="shared" si="0"/>
        <v>11</v>
      </c>
      <c r="O2" s="45">
        <f t="shared" si="0"/>
        <v>12</v>
      </c>
    </row>
    <row r="3" spans="1:17" ht="28" x14ac:dyDescent="0.3">
      <c r="A3" s="94" t="s">
        <v>78</v>
      </c>
      <c r="B3" s="46"/>
      <c r="C3" s="45"/>
      <c r="D3" s="45">
        <f>MPS!B5</f>
        <v>0</v>
      </c>
      <c r="E3" s="45">
        <f>MPS!C5</f>
        <v>50</v>
      </c>
      <c r="F3" s="45">
        <f>MPS!D5+50</f>
        <v>50</v>
      </c>
      <c r="G3" s="45">
        <f>MPS!E5</f>
        <v>50</v>
      </c>
      <c r="H3" s="45">
        <f>MPS!F5</f>
        <v>100</v>
      </c>
      <c r="I3" s="45">
        <f>25+25+25+25</f>
        <v>100</v>
      </c>
      <c r="J3" s="45">
        <f>MPS!H5-25</f>
        <v>25</v>
      </c>
      <c r="K3" s="45">
        <f>MPS!I5-75</f>
        <v>25</v>
      </c>
      <c r="L3" s="45">
        <f>MPS!J5-25</f>
        <v>25</v>
      </c>
      <c r="M3" s="45">
        <f>MPS!K5-25</f>
        <v>25</v>
      </c>
      <c r="N3" s="45">
        <f>MPS!L5+25</f>
        <v>25</v>
      </c>
      <c r="O3" s="45">
        <f>MPS!M5-25</f>
        <v>25</v>
      </c>
      <c r="P3" s="53">
        <f>SUM(D3:O3)</f>
        <v>500</v>
      </c>
      <c r="Q3" s="99">
        <f>MPS!C20</f>
        <v>500</v>
      </c>
    </row>
    <row r="4" spans="1:17" ht="23" x14ac:dyDescent="0.25">
      <c r="A4" s="94" t="s">
        <v>79</v>
      </c>
      <c r="B4" s="46"/>
      <c r="C4" s="45"/>
      <c r="D4" s="45"/>
      <c r="E4" s="45"/>
      <c r="F4" s="45"/>
      <c r="G4" s="45"/>
      <c r="H4" s="45"/>
      <c r="I4" s="45"/>
      <c r="J4" s="45"/>
      <c r="K4" s="45"/>
      <c r="L4" s="45"/>
      <c r="M4" s="45"/>
      <c r="N4" s="45"/>
      <c r="O4" s="45"/>
    </row>
    <row r="5" spans="1:17" ht="23" x14ac:dyDescent="0.25">
      <c r="A5" s="94" t="s">
        <v>80</v>
      </c>
      <c r="B5" s="46"/>
      <c r="C5" s="45">
        <v>37</v>
      </c>
      <c r="D5" s="45">
        <f t="shared" ref="D5:O5" si="1">C5+D7-D3</f>
        <v>37</v>
      </c>
      <c r="E5" s="45">
        <f t="shared" si="1"/>
        <v>0</v>
      </c>
      <c r="F5" s="45">
        <f t="shared" si="1"/>
        <v>0</v>
      </c>
      <c r="G5" s="45">
        <f t="shared" si="1"/>
        <v>0</v>
      </c>
      <c r="H5" s="45">
        <f t="shared" si="1"/>
        <v>0</v>
      </c>
      <c r="I5" s="45">
        <f t="shared" si="1"/>
        <v>0</v>
      </c>
      <c r="J5" s="45">
        <f t="shared" si="1"/>
        <v>0</v>
      </c>
      <c r="K5" s="45">
        <f t="shared" si="1"/>
        <v>0</v>
      </c>
      <c r="L5" s="45">
        <f t="shared" si="1"/>
        <v>0</v>
      </c>
      <c r="M5" s="45">
        <f t="shared" si="1"/>
        <v>0</v>
      </c>
      <c r="N5" s="45">
        <f t="shared" si="1"/>
        <v>0</v>
      </c>
      <c r="O5" s="45">
        <f t="shared" si="1"/>
        <v>0</v>
      </c>
      <c r="P5" s="54"/>
    </row>
    <row r="6" spans="1:17" ht="23" x14ac:dyDescent="0.25">
      <c r="A6" s="94" t="s">
        <v>81</v>
      </c>
      <c r="B6" s="46"/>
      <c r="C6" s="45"/>
      <c r="D6" s="45">
        <f t="shared" ref="D6:O6" si="2">IF(D3&gt;=C5,D3-C5,0)</f>
        <v>0</v>
      </c>
      <c r="E6" s="45">
        <f t="shared" si="2"/>
        <v>13</v>
      </c>
      <c r="F6" s="45">
        <f t="shared" si="2"/>
        <v>50</v>
      </c>
      <c r="G6" s="45">
        <f t="shared" si="2"/>
        <v>50</v>
      </c>
      <c r="H6" s="45">
        <f t="shared" si="2"/>
        <v>100</v>
      </c>
      <c r="I6" s="45">
        <f t="shared" si="2"/>
        <v>100</v>
      </c>
      <c r="J6" s="45">
        <f t="shared" si="2"/>
        <v>25</v>
      </c>
      <c r="K6" s="45">
        <f t="shared" si="2"/>
        <v>25</v>
      </c>
      <c r="L6" s="45">
        <f t="shared" si="2"/>
        <v>25</v>
      </c>
      <c r="M6" s="45">
        <f t="shared" si="2"/>
        <v>25</v>
      </c>
      <c r="N6" s="45">
        <f t="shared" si="2"/>
        <v>25</v>
      </c>
      <c r="O6" s="45">
        <f t="shared" si="2"/>
        <v>25</v>
      </c>
      <c r="P6" s="55"/>
    </row>
    <row r="7" spans="1:17" ht="23" x14ac:dyDescent="0.25">
      <c r="A7" s="94" t="s">
        <v>82</v>
      </c>
      <c r="B7" s="46"/>
      <c r="C7" s="45"/>
      <c r="D7" s="45">
        <f t="shared" ref="D7:O7" si="3">D6</f>
        <v>0</v>
      </c>
      <c r="E7" s="45">
        <f t="shared" si="3"/>
        <v>13</v>
      </c>
      <c r="F7" s="45">
        <f t="shared" si="3"/>
        <v>50</v>
      </c>
      <c r="G7" s="45">
        <f t="shared" si="3"/>
        <v>50</v>
      </c>
      <c r="H7" s="45">
        <f t="shared" si="3"/>
        <v>100</v>
      </c>
      <c r="I7" s="45">
        <f t="shared" si="3"/>
        <v>100</v>
      </c>
      <c r="J7" s="45">
        <f t="shared" si="3"/>
        <v>25</v>
      </c>
      <c r="K7" s="45">
        <f t="shared" si="3"/>
        <v>25</v>
      </c>
      <c r="L7" s="45">
        <f t="shared" si="3"/>
        <v>25</v>
      </c>
      <c r="M7" s="45">
        <f t="shared" si="3"/>
        <v>25</v>
      </c>
      <c r="N7" s="45">
        <f t="shared" si="3"/>
        <v>25</v>
      </c>
      <c r="O7" s="45">
        <f t="shared" si="3"/>
        <v>25</v>
      </c>
      <c r="P7" s="55"/>
    </row>
    <row r="8" spans="1:17" ht="23" x14ac:dyDescent="0.25">
      <c r="A8" s="94" t="s">
        <v>83</v>
      </c>
      <c r="B8" s="46"/>
      <c r="C8" s="50">
        <f>E7+D7</f>
        <v>13</v>
      </c>
      <c r="D8" s="45">
        <f>F7</f>
        <v>50</v>
      </c>
      <c r="E8" s="45">
        <f>G7</f>
        <v>50</v>
      </c>
      <c r="F8" s="45">
        <f t="shared" ref="F8:O8" si="4">H7</f>
        <v>100</v>
      </c>
      <c r="G8" s="45">
        <f t="shared" si="4"/>
        <v>100</v>
      </c>
      <c r="H8" s="45">
        <f t="shared" si="4"/>
        <v>25</v>
      </c>
      <c r="I8" s="45">
        <f t="shared" si="4"/>
        <v>25</v>
      </c>
      <c r="J8" s="45">
        <f t="shared" si="4"/>
        <v>25</v>
      </c>
      <c r="K8" s="45">
        <f t="shared" si="4"/>
        <v>25</v>
      </c>
      <c r="L8" s="45">
        <f t="shared" si="4"/>
        <v>25</v>
      </c>
      <c r="M8" s="45">
        <f t="shared" si="4"/>
        <v>25</v>
      </c>
      <c r="N8" s="45">
        <f t="shared" si="4"/>
        <v>0</v>
      </c>
      <c r="O8" s="45">
        <f t="shared" si="4"/>
        <v>0</v>
      </c>
      <c r="P8" s="55"/>
    </row>
    <row r="9" spans="1:17" ht="23" x14ac:dyDescent="0.25">
      <c r="A9" s="66" t="s">
        <v>33</v>
      </c>
      <c r="B9" s="44"/>
      <c r="C9" s="44"/>
      <c r="D9" s="47">
        <f>50-D8</f>
        <v>0</v>
      </c>
      <c r="E9" s="47">
        <f>50-E8</f>
        <v>0</v>
      </c>
      <c r="F9" s="47">
        <f>100-F8</f>
        <v>0</v>
      </c>
      <c r="G9" s="47">
        <f>100-G8</f>
        <v>0</v>
      </c>
      <c r="H9" s="47">
        <f>25-H8</f>
        <v>0</v>
      </c>
      <c r="I9" s="47">
        <f>25-I8</f>
        <v>0</v>
      </c>
      <c r="J9" s="47">
        <f>25-J8</f>
        <v>0</v>
      </c>
      <c r="K9" s="47">
        <f>25-K8</f>
        <v>0</v>
      </c>
      <c r="L9" s="47">
        <f>75-L8</f>
        <v>50</v>
      </c>
      <c r="M9" s="47">
        <f>25-M8</f>
        <v>0</v>
      </c>
      <c r="N9" s="47">
        <f>50-N8</f>
        <v>50</v>
      </c>
      <c r="O9" s="47">
        <f>125-O8</f>
        <v>125</v>
      </c>
      <c r="P9" s="55"/>
    </row>
    <row r="10" spans="1:17" ht="23" x14ac:dyDescent="0.25">
      <c r="A10" s="77" t="s">
        <v>17</v>
      </c>
      <c r="B10" s="66"/>
      <c r="C10" s="95">
        <f>4*6*C8</f>
        <v>312</v>
      </c>
      <c r="D10" s="47"/>
      <c r="E10" s="47"/>
      <c r="F10" s="47"/>
      <c r="G10" s="47"/>
      <c r="H10" s="47"/>
      <c r="I10" s="47"/>
      <c r="J10" s="47"/>
      <c r="K10" s="47"/>
      <c r="L10" s="47"/>
      <c r="M10" s="47"/>
      <c r="N10" s="47"/>
      <c r="O10" s="47"/>
      <c r="P10" s="55"/>
    </row>
    <row r="11" spans="1:17" ht="23" x14ac:dyDescent="0.25">
      <c r="A11" s="48"/>
      <c r="B11" s="48"/>
      <c r="C11" s="48"/>
      <c r="D11" s="48"/>
      <c r="E11" s="48"/>
      <c r="F11" s="48"/>
      <c r="G11" s="48"/>
      <c r="H11" s="48"/>
      <c r="I11" s="48"/>
      <c r="J11" s="48"/>
      <c r="K11" s="48"/>
      <c r="L11" s="48"/>
      <c r="M11" s="48"/>
      <c r="N11" s="48"/>
      <c r="O11" s="48"/>
      <c r="P11" s="55"/>
    </row>
    <row r="12" spans="1:17" ht="23" x14ac:dyDescent="0.25">
      <c r="A12" s="45" t="s">
        <v>1</v>
      </c>
      <c r="B12" s="45" t="s">
        <v>86</v>
      </c>
      <c r="C12" s="49"/>
      <c r="D12" s="49"/>
      <c r="E12" s="49"/>
      <c r="F12" s="49"/>
      <c r="G12" s="49" t="s">
        <v>75</v>
      </c>
      <c r="H12" s="49"/>
      <c r="I12" s="49"/>
      <c r="J12" s="49"/>
      <c r="K12" s="49"/>
      <c r="L12" s="49"/>
      <c r="M12" s="49"/>
      <c r="N12" s="49"/>
      <c r="O12" s="49"/>
      <c r="P12" s="55"/>
    </row>
    <row r="13" spans="1:17" ht="23" x14ac:dyDescent="0.25">
      <c r="A13" s="45" t="s">
        <v>0</v>
      </c>
      <c r="B13" s="45" t="s">
        <v>87</v>
      </c>
      <c r="C13" s="45" t="s">
        <v>77</v>
      </c>
      <c r="D13" s="45">
        <v>1</v>
      </c>
      <c r="E13" s="45">
        <f>D13+1</f>
        <v>2</v>
      </c>
      <c r="F13" s="45">
        <f t="shared" ref="F13:O13" si="5">E13+1</f>
        <v>3</v>
      </c>
      <c r="G13" s="45">
        <f t="shared" si="5"/>
        <v>4</v>
      </c>
      <c r="H13" s="45">
        <f t="shared" si="5"/>
        <v>5</v>
      </c>
      <c r="I13" s="45">
        <f t="shared" si="5"/>
        <v>6</v>
      </c>
      <c r="J13" s="45">
        <f t="shared" si="5"/>
        <v>7</v>
      </c>
      <c r="K13" s="45">
        <f t="shared" si="5"/>
        <v>8</v>
      </c>
      <c r="L13" s="45">
        <f t="shared" si="5"/>
        <v>9</v>
      </c>
      <c r="M13" s="45">
        <f t="shared" si="5"/>
        <v>10</v>
      </c>
      <c r="N13" s="45">
        <f t="shared" si="5"/>
        <v>11</v>
      </c>
      <c r="O13" s="45">
        <f t="shared" si="5"/>
        <v>12</v>
      </c>
      <c r="P13" s="55"/>
    </row>
    <row r="14" spans="1:17" ht="23" x14ac:dyDescent="0.25">
      <c r="A14" s="131" t="s">
        <v>78</v>
      </c>
      <c r="B14" s="132"/>
      <c r="C14" s="45"/>
      <c r="D14" s="45">
        <f>2*$D$8</f>
        <v>100</v>
      </c>
      <c r="E14" s="45">
        <f>$E$8*2</f>
        <v>100</v>
      </c>
      <c r="F14" s="45">
        <f>$F$8*2</f>
        <v>200</v>
      </c>
      <c r="G14" s="45">
        <f>$G$8*2</f>
        <v>200</v>
      </c>
      <c r="H14" s="45">
        <f>$H$8*2</f>
        <v>50</v>
      </c>
      <c r="I14" s="45">
        <f>$I$8*2</f>
        <v>50</v>
      </c>
      <c r="J14" s="45">
        <f>$J$8*2</f>
        <v>50</v>
      </c>
      <c r="K14" s="45">
        <f>$K$8*2</f>
        <v>50</v>
      </c>
      <c r="L14" s="45">
        <f>$L$8*2</f>
        <v>50</v>
      </c>
      <c r="M14" s="45">
        <f>$M$8*2</f>
        <v>50</v>
      </c>
      <c r="N14" s="45">
        <f>$N$8*2</f>
        <v>0</v>
      </c>
      <c r="O14" s="45">
        <f>$O$8*2</f>
        <v>0</v>
      </c>
      <c r="P14" s="55"/>
    </row>
    <row r="15" spans="1:17" ht="23" x14ac:dyDescent="0.25">
      <c r="A15" s="131" t="s">
        <v>79</v>
      </c>
      <c r="B15" s="132"/>
      <c r="C15" s="45"/>
      <c r="D15" s="45"/>
      <c r="E15" s="45"/>
      <c r="F15" s="45"/>
      <c r="G15" s="45"/>
      <c r="H15" s="45"/>
      <c r="I15" s="45"/>
      <c r="J15" s="45"/>
      <c r="K15" s="45"/>
      <c r="L15" s="45"/>
      <c r="M15" s="45"/>
      <c r="N15" s="45"/>
      <c r="O15" s="45"/>
      <c r="P15" s="55"/>
    </row>
    <row r="16" spans="1:17" ht="23" x14ac:dyDescent="0.25">
      <c r="A16" s="131" t="s">
        <v>80</v>
      </c>
      <c r="B16" s="132"/>
      <c r="C16" s="45">
        <v>340</v>
      </c>
      <c r="D16" s="45">
        <f t="shared" ref="D16:O16" si="6">C16+D18-D14</f>
        <v>240</v>
      </c>
      <c r="E16" s="45">
        <f t="shared" si="6"/>
        <v>140</v>
      </c>
      <c r="F16" s="45">
        <f t="shared" si="6"/>
        <v>0</v>
      </c>
      <c r="G16" s="45">
        <f t="shared" si="6"/>
        <v>0</v>
      </c>
      <c r="H16" s="45">
        <f t="shared" si="6"/>
        <v>0</v>
      </c>
      <c r="I16" s="45">
        <f t="shared" si="6"/>
        <v>0</v>
      </c>
      <c r="J16" s="45">
        <f t="shared" si="6"/>
        <v>0</v>
      </c>
      <c r="K16" s="45">
        <f t="shared" si="6"/>
        <v>0</v>
      </c>
      <c r="L16" s="45">
        <f t="shared" si="6"/>
        <v>0</v>
      </c>
      <c r="M16" s="45">
        <f t="shared" si="6"/>
        <v>0</v>
      </c>
      <c r="N16" s="45">
        <f t="shared" si="6"/>
        <v>0</v>
      </c>
      <c r="O16" s="45">
        <f t="shared" si="6"/>
        <v>0</v>
      </c>
      <c r="P16" s="54"/>
    </row>
    <row r="17" spans="1:16" ht="23" x14ac:dyDescent="0.25">
      <c r="A17" s="94" t="s">
        <v>81</v>
      </c>
      <c r="B17" s="52"/>
      <c r="C17" s="45"/>
      <c r="D17" s="45">
        <f t="shared" ref="D17:K17" si="7">IF(D14&gt;=C16,D14-C16,0)</f>
        <v>0</v>
      </c>
      <c r="E17" s="45">
        <f t="shared" si="7"/>
        <v>0</v>
      </c>
      <c r="F17" s="45">
        <f t="shared" si="7"/>
        <v>60</v>
      </c>
      <c r="G17" s="45">
        <f t="shared" si="7"/>
        <v>200</v>
      </c>
      <c r="H17" s="45">
        <f t="shared" si="7"/>
        <v>50</v>
      </c>
      <c r="I17" s="45">
        <f t="shared" si="7"/>
        <v>50</v>
      </c>
      <c r="J17" s="45">
        <f t="shared" si="7"/>
        <v>50</v>
      </c>
      <c r="K17" s="45">
        <f t="shared" si="7"/>
        <v>50</v>
      </c>
      <c r="L17" s="45">
        <f>IF(L14&gt;=K16,L14-K16,0)</f>
        <v>50</v>
      </c>
      <c r="M17" s="45">
        <f>IF(M14&gt;=L16,M14-L16,0)</f>
        <v>50</v>
      </c>
      <c r="N17" s="45">
        <f>IF(N14&gt;=M16,N14-M16,0)</f>
        <v>0</v>
      </c>
      <c r="O17" s="45">
        <f>IF(O14&gt;=N16,O14-N16,0)</f>
        <v>0</v>
      </c>
      <c r="P17" s="55"/>
    </row>
    <row r="18" spans="1:16" ht="23" x14ac:dyDescent="0.25">
      <c r="A18" s="131" t="s">
        <v>82</v>
      </c>
      <c r="B18" s="132"/>
      <c r="C18" s="45"/>
      <c r="D18" s="45">
        <f>CEILING(D17/10,1)*10</f>
        <v>0</v>
      </c>
      <c r="E18" s="45">
        <f>CEILING(E17/10,1)*10</f>
        <v>0</v>
      </c>
      <c r="F18" s="45">
        <f>CEILING(F17/10,1)*10</f>
        <v>60</v>
      </c>
      <c r="G18" s="45">
        <f t="shared" ref="G18:O18" si="8">CEILING(G17/10,1)*10</f>
        <v>200</v>
      </c>
      <c r="H18" s="45">
        <f t="shared" si="8"/>
        <v>50</v>
      </c>
      <c r="I18" s="45">
        <f t="shared" si="8"/>
        <v>50</v>
      </c>
      <c r="J18" s="45">
        <f t="shared" si="8"/>
        <v>50</v>
      </c>
      <c r="K18" s="45">
        <f t="shared" si="8"/>
        <v>50</v>
      </c>
      <c r="L18" s="45">
        <f t="shared" si="8"/>
        <v>50</v>
      </c>
      <c r="M18" s="45">
        <f t="shared" si="8"/>
        <v>50</v>
      </c>
      <c r="N18" s="45">
        <f t="shared" si="8"/>
        <v>0</v>
      </c>
      <c r="O18" s="45">
        <f t="shared" si="8"/>
        <v>0</v>
      </c>
      <c r="P18" s="55"/>
    </row>
    <row r="19" spans="1:16" ht="23" x14ac:dyDescent="0.25">
      <c r="A19" s="131" t="s">
        <v>83</v>
      </c>
      <c r="B19" s="132"/>
      <c r="C19" s="50">
        <f>D18</f>
        <v>0</v>
      </c>
      <c r="D19" s="45">
        <f>E18</f>
        <v>0</v>
      </c>
      <c r="E19" s="45">
        <f t="shared" ref="E19:O19" si="9">F18</f>
        <v>60</v>
      </c>
      <c r="F19" s="45">
        <f t="shared" si="9"/>
        <v>200</v>
      </c>
      <c r="G19" s="45">
        <f t="shared" si="9"/>
        <v>50</v>
      </c>
      <c r="H19" s="45">
        <f t="shared" si="9"/>
        <v>50</v>
      </c>
      <c r="I19" s="45">
        <f t="shared" si="9"/>
        <v>50</v>
      </c>
      <c r="J19" s="45">
        <f t="shared" si="9"/>
        <v>50</v>
      </c>
      <c r="K19" s="45">
        <f t="shared" si="9"/>
        <v>50</v>
      </c>
      <c r="L19" s="45">
        <f t="shared" si="9"/>
        <v>50</v>
      </c>
      <c r="M19" s="45">
        <f t="shared" si="9"/>
        <v>0</v>
      </c>
      <c r="N19" s="45">
        <f t="shared" si="9"/>
        <v>0</v>
      </c>
      <c r="O19" s="45">
        <f t="shared" si="9"/>
        <v>0</v>
      </c>
      <c r="P19" s="55"/>
    </row>
    <row r="20" spans="1:16" ht="23" x14ac:dyDescent="0.25">
      <c r="A20" s="78" t="s">
        <v>16</v>
      </c>
      <c r="B20" s="44"/>
      <c r="C20" s="51"/>
      <c r="D20" s="56">
        <f>D19*1</f>
        <v>0</v>
      </c>
      <c r="E20" s="56">
        <f t="shared" ref="E20:O20" si="10">E19*1</f>
        <v>60</v>
      </c>
      <c r="F20" s="56">
        <f t="shared" si="10"/>
        <v>200</v>
      </c>
      <c r="G20" s="56">
        <f t="shared" si="10"/>
        <v>50</v>
      </c>
      <c r="H20" s="56">
        <f t="shared" si="10"/>
        <v>50</v>
      </c>
      <c r="I20" s="56">
        <f t="shared" si="10"/>
        <v>50</v>
      </c>
      <c r="J20" s="56">
        <f t="shared" si="10"/>
        <v>50</v>
      </c>
      <c r="K20" s="56">
        <f t="shared" si="10"/>
        <v>50</v>
      </c>
      <c r="L20" s="56">
        <f t="shared" si="10"/>
        <v>50</v>
      </c>
      <c r="M20" s="56">
        <f t="shared" si="10"/>
        <v>0</v>
      </c>
      <c r="N20" s="56">
        <f t="shared" si="10"/>
        <v>0</v>
      </c>
      <c r="O20" s="56">
        <f t="shared" si="10"/>
        <v>0</v>
      </c>
      <c r="P20" s="55"/>
    </row>
    <row r="21" spans="1:16" ht="23" x14ac:dyDescent="0.25">
      <c r="A21" s="44"/>
      <c r="B21" s="44"/>
      <c r="C21" s="51"/>
      <c r="D21" s="44"/>
      <c r="E21" s="44"/>
      <c r="F21" s="44"/>
      <c r="G21" s="44"/>
      <c r="H21" s="44"/>
      <c r="I21" s="44"/>
      <c r="J21" s="44"/>
      <c r="K21" s="44"/>
      <c r="L21" s="44"/>
      <c r="M21" s="44"/>
      <c r="N21" s="44"/>
      <c r="O21" s="44"/>
      <c r="P21" s="55"/>
    </row>
    <row r="22" spans="1:16" ht="23" x14ac:dyDescent="0.25">
      <c r="A22" s="44"/>
      <c r="B22" s="44"/>
      <c r="C22" s="51"/>
      <c r="D22" s="44"/>
      <c r="E22" s="44"/>
      <c r="F22" s="44"/>
      <c r="G22" s="44"/>
      <c r="H22" s="44"/>
      <c r="I22" s="44"/>
      <c r="J22" s="44"/>
      <c r="K22" s="44"/>
      <c r="L22" s="44"/>
      <c r="M22" s="44"/>
      <c r="N22" s="44"/>
      <c r="O22" s="44"/>
      <c r="P22" s="55"/>
    </row>
    <row r="23" spans="1:16" ht="23" x14ac:dyDescent="0.25">
      <c r="A23" s="48"/>
      <c r="B23" s="48"/>
      <c r="C23" s="48"/>
      <c r="D23" s="48"/>
      <c r="E23" s="48"/>
      <c r="F23" s="48"/>
      <c r="G23" s="48"/>
      <c r="H23" s="48"/>
      <c r="I23" s="48"/>
      <c r="J23" s="48"/>
      <c r="K23" s="48"/>
      <c r="L23" s="48"/>
      <c r="M23" s="48"/>
      <c r="N23" s="48"/>
      <c r="O23" s="48"/>
      <c r="P23" s="55"/>
    </row>
    <row r="24" spans="1:16" ht="23" x14ac:dyDescent="0.25">
      <c r="A24" s="45" t="s">
        <v>2</v>
      </c>
      <c r="B24" s="45" t="s">
        <v>86</v>
      </c>
      <c r="C24" s="49"/>
      <c r="D24" s="49"/>
      <c r="E24" s="49"/>
      <c r="F24" s="49"/>
      <c r="G24" s="49" t="s">
        <v>75</v>
      </c>
      <c r="H24" s="49"/>
      <c r="I24" s="49"/>
      <c r="J24" s="49"/>
      <c r="K24" s="49"/>
      <c r="L24" s="49"/>
      <c r="M24" s="49"/>
      <c r="N24" s="49"/>
      <c r="O24" s="49"/>
      <c r="P24" s="55"/>
    </row>
    <row r="25" spans="1:16" ht="23" x14ac:dyDescent="0.25">
      <c r="A25" s="45" t="s">
        <v>3</v>
      </c>
      <c r="B25" s="45" t="s">
        <v>85</v>
      </c>
      <c r="C25" s="45" t="s">
        <v>77</v>
      </c>
      <c r="D25" s="45">
        <v>1</v>
      </c>
      <c r="E25" s="45">
        <f>D25+1</f>
        <v>2</v>
      </c>
      <c r="F25" s="45">
        <f t="shared" ref="F25:O25" si="11">E25+1</f>
        <v>3</v>
      </c>
      <c r="G25" s="45">
        <f t="shared" si="11"/>
        <v>4</v>
      </c>
      <c r="H25" s="45">
        <f t="shared" si="11"/>
        <v>5</v>
      </c>
      <c r="I25" s="45">
        <f t="shared" si="11"/>
        <v>6</v>
      </c>
      <c r="J25" s="45">
        <f t="shared" si="11"/>
        <v>7</v>
      </c>
      <c r="K25" s="45">
        <f t="shared" si="11"/>
        <v>8</v>
      </c>
      <c r="L25" s="45">
        <f t="shared" si="11"/>
        <v>9</v>
      </c>
      <c r="M25" s="45">
        <f t="shared" si="11"/>
        <v>10</v>
      </c>
      <c r="N25" s="45">
        <f t="shared" si="11"/>
        <v>11</v>
      </c>
      <c r="O25" s="45">
        <f t="shared" si="11"/>
        <v>12</v>
      </c>
      <c r="P25" s="55"/>
    </row>
    <row r="26" spans="1:16" ht="23" x14ac:dyDescent="0.25">
      <c r="A26" s="131" t="s">
        <v>78</v>
      </c>
      <c r="B26" s="132"/>
      <c r="C26" s="45"/>
      <c r="D26" s="45">
        <f>2*$D$8</f>
        <v>100</v>
      </c>
      <c r="E26" s="45">
        <f>$E$8*2</f>
        <v>100</v>
      </c>
      <c r="F26" s="45">
        <f>$F$8*2</f>
        <v>200</v>
      </c>
      <c r="G26" s="45">
        <f>$G$8*2</f>
        <v>200</v>
      </c>
      <c r="H26" s="45">
        <f>$H$8*2</f>
        <v>50</v>
      </c>
      <c r="I26" s="45">
        <f>$I$8*2</f>
        <v>50</v>
      </c>
      <c r="J26" s="45">
        <f>$J$8*2</f>
        <v>50</v>
      </c>
      <c r="K26" s="45">
        <f>$K$8*2</f>
        <v>50</v>
      </c>
      <c r="L26" s="45">
        <f>$L$8*2</f>
        <v>50</v>
      </c>
      <c r="M26" s="45">
        <f>$M$8*2</f>
        <v>50</v>
      </c>
      <c r="N26" s="45">
        <f>$N$8*2</f>
        <v>0</v>
      </c>
      <c r="O26" s="45">
        <f>$O$8*2</f>
        <v>0</v>
      </c>
      <c r="P26" s="55"/>
    </row>
    <row r="27" spans="1:16" ht="23" x14ac:dyDescent="0.25">
      <c r="A27" s="131" t="s">
        <v>79</v>
      </c>
      <c r="B27" s="132"/>
      <c r="C27" s="45"/>
      <c r="D27" s="45"/>
      <c r="E27" s="45"/>
      <c r="F27" s="45"/>
      <c r="G27" s="45"/>
      <c r="H27" s="45"/>
      <c r="I27" s="45"/>
      <c r="J27" s="45"/>
      <c r="K27" s="45"/>
      <c r="L27" s="45"/>
      <c r="M27" s="45"/>
      <c r="N27" s="45"/>
      <c r="O27" s="45"/>
      <c r="P27" s="55"/>
    </row>
    <row r="28" spans="1:16" ht="23" x14ac:dyDescent="0.25">
      <c r="A28" s="131" t="s">
        <v>80</v>
      </c>
      <c r="B28" s="132"/>
      <c r="C28" s="45">
        <v>201</v>
      </c>
      <c r="D28" s="45">
        <f t="shared" ref="D28:O28" si="12">C28+D30-D26</f>
        <v>101</v>
      </c>
      <c r="E28" s="45">
        <f t="shared" si="12"/>
        <v>1</v>
      </c>
      <c r="F28" s="45">
        <f t="shared" si="12"/>
        <v>26</v>
      </c>
      <c r="G28" s="45">
        <f t="shared" si="12"/>
        <v>51</v>
      </c>
      <c r="H28" s="45">
        <f t="shared" si="12"/>
        <v>1</v>
      </c>
      <c r="I28" s="45">
        <f t="shared" si="12"/>
        <v>26</v>
      </c>
      <c r="J28" s="45">
        <f t="shared" si="12"/>
        <v>51</v>
      </c>
      <c r="K28" s="45">
        <f t="shared" si="12"/>
        <v>1</v>
      </c>
      <c r="L28" s="45">
        <f t="shared" si="12"/>
        <v>26</v>
      </c>
      <c r="M28" s="45">
        <f t="shared" si="12"/>
        <v>51</v>
      </c>
      <c r="N28" s="45">
        <f t="shared" si="12"/>
        <v>51</v>
      </c>
      <c r="O28" s="45">
        <f t="shared" si="12"/>
        <v>51</v>
      </c>
      <c r="P28" s="54"/>
    </row>
    <row r="29" spans="1:16" ht="23" x14ac:dyDescent="0.25">
      <c r="A29" s="94" t="s">
        <v>81</v>
      </c>
      <c r="B29" s="52"/>
      <c r="C29" s="45"/>
      <c r="D29" s="45">
        <f t="shared" ref="D29:O29" si="13">IF(D26&gt;=C28,D26-C28,0)</f>
        <v>0</v>
      </c>
      <c r="E29" s="45">
        <f t="shared" si="13"/>
        <v>0</v>
      </c>
      <c r="F29" s="45">
        <f t="shared" si="13"/>
        <v>199</v>
      </c>
      <c r="G29" s="45">
        <f t="shared" si="13"/>
        <v>174</v>
      </c>
      <c r="H29" s="45">
        <f t="shared" si="13"/>
        <v>0</v>
      </c>
      <c r="I29" s="45">
        <f t="shared" si="13"/>
        <v>49</v>
      </c>
      <c r="J29" s="45">
        <f t="shared" si="13"/>
        <v>24</v>
      </c>
      <c r="K29" s="45">
        <f t="shared" si="13"/>
        <v>0</v>
      </c>
      <c r="L29" s="45">
        <f t="shared" si="13"/>
        <v>49</v>
      </c>
      <c r="M29" s="45">
        <f t="shared" si="13"/>
        <v>24</v>
      </c>
      <c r="N29" s="45">
        <f t="shared" si="13"/>
        <v>0</v>
      </c>
      <c r="O29" s="45">
        <f t="shared" si="13"/>
        <v>0</v>
      </c>
      <c r="P29" s="55"/>
    </row>
    <row r="30" spans="1:16" ht="23" x14ac:dyDescent="0.25">
      <c r="A30" s="131" t="s">
        <v>82</v>
      </c>
      <c r="B30" s="132"/>
      <c r="C30" s="45"/>
      <c r="D30" s="45">
        <f>CEILING(D29/75,1)*75</f>
        <v>0</v>
      </c>
      <c r="E30" s="45">
        <f>CEILING(E29/75,1)*75</f>
        <v>0</v>
      </c>
      <c r="F30" s="45">
        <f>CEILING(F29/75,1)*75</f>
        <v>225</v>
      </c>
      <c r="G30" s="45">
        <f>CEILING(G29/75,1)*75</f>
        <v>225</v>
      </c>
      <c r="H30" s="45">
        <f>CEILING(H29/75,1)*75</f>
        <v>0</v>
      </c>
      <c r="I30" s="45">
        <f t="shared" ref="I30:O30" si="14">CEILING(I29/75,1)*75</f>
        <v>75</v>
      </c>
      <c r="J30" s="45">
        <f t="shared" si="14"/>
        <v>75</v>
      </c>
      <c r="K30" s="45">
        <f t="shared" si="14"/>
        <v>0</v>
      </c>
      <c r="L30" s="45">
        <f t="shared" si="14"/>
        <v>75</v>
      </c>
      <c r="M30" s="45">
        <f t="shared" si="14"/>
        <v>75</v>
      </c>
      <c r="N30" s="45">
        <f t="shared" si="14"/>
        <v>0</v>
      </c>
      <c r="O30" s="45">
        <f t="shared" si="14"/>
        <v>0</v>
      </c>
      <c r="P30" s="55"/>
    </row>
    <row r="31" spans="1:16" ht="23" x14ac:dyDescent="0.25">
      <c r="A31" s="131" t="s">
        <v>83</v>
      </c>
      <c r="B31" s="132"/>
      <c r="C31" s="50">
        <f>E30+D30</f>
        <v>0</v>
      </c>
      <c r="D31" s="45">
        <f t="shared" ref="D31:M31" si="15">F30</f>
        <v>225</v>
      </c>
      <c r="E31" s="45">
        <f t="shared" si="15"/>
        <v>225</v>
      </c>
      <c r="F31" s="45">
        <f t="shared" si="15"/>
        <v>0</v>
      </c>
      <c r="G31" s="45">
        <f t="shared" si="15"/>
        <v>75</v>
      </c>
      <c r="H31" s="45">
        <f t="shared" si="15"/>
        <v>75</v>
      </c>
      <c r="I31" s="45">
        <f t="shared" si="15"/>
        <v>0</v>
      </c>
      <c r="J31" s="45">
        <f t="shared" si="15"/>
        <v>75</v>
      </c>
      <c r="K31" s="45">
        <f t="shared" si="15"/>
        <v>75</v>
      </c>
      <c r="L31" s="45">
        <f t="shared" si="15"/>
        <v>0</v>
      </c>
      <c r="M31" s="45">
        <f t="shared" si="15"/>
        <v>0</v>
      </c>
      <c r="N31" s="45">
        <f>P30</f>
        <v>0</v>
      </c>
      <c r="O31" s="45">
        <f>Q30</f>
        <v>0</v>
      </c>
      <c r="P31" s="55"/>
    </row>
    <row r="32" spans="1:16" ht="23" x14ac:dyDescent="0.25">
      <c r="A32" s="78" t="s">
        <v>16</v>
      </c>
      <c r="B32" s="44"/>
      <c r="C32" s="51"/>
      <c r="D32" s="56">
        <f>D31*1</f>
        <v>225</v>
      </c>
      <c r="E32" s="56">
        <f t="shared" ref="E32:O32" si="16">E31*1</f>
        <v>225</v>
      </c>
      <c r="F32" s="56">
        <f t="shared" si="16"/>
        <v>0</v>
      </c>
      <c r="G32" s="56">
        <f t="shared" si="16"/>
        <v>75</v>
      </c>
      <c r="H32" s="56">
        <f t="shared" si="16"/>
        <v>75</v>
      </c>
      <c r="I32" s="56">
        <f t="shared" si="16"/>
        <v>0</v>
      </c>
      <c r="J32" s="56">
        <f t="shared" si="16"/>
        <v>75</v>
      </c>
      <c r="K32" s="56">
        <f t="shared" si="16"/>
        <v>75</v>
      </c>
      <c r="L32" s="56">
        <f t="shared" si="16"/>
        <v>0</v>
      </c>
      <c r="M32" s="56">
        <f t="shared" si="16"/>
        <v>0</v>
      </c>
      <c r="N32" s="56">
        <f t="shared" si="16"/>
        <v>0</v>
      </c>
      <c r="O32" s="56">
        <f t="shared" si="16"/>
        <v>0</v>
      </c>
      <c r="P32" s="55"/>
    </row>
    <row r="33" spans="1:32" ht="23" x14ac:dyDescent="0.25">
      <c r="A33" s="44"/>
      <c r="B33" s="44"/>
      <c r="C33" s="51"/>
      <c r="D33" s="44"/>
      <c r="E33" s="44"/>
      <c r="F33" s="44"/>
      <c r="G33" s="44"/>
      <c r="H33" s="44"/>
      <c r="I33" s="44"/>
      <c r="J33" s="44"/>
      <c r="K33" s="44"/>
      <c r="L33" s="44"/>
      <c r="M33" s="44"/>
      <c r="N33" s="44"/>
      <c r="O33" s="44"/>
      <c r="P33" s="55"/>
    </row>
    <row r="34" spans="1:32" ht="23" x14ac:dyDescent="0.25">
      <c r="A34" s="44"/>
      <c r="B34" s="44"/>
      <c r="C34" s="51"/>
      <c r="D34" s="44"/>
      <c r="E34" s="44"/>
      <c r="F34" s="44"/>
      <c r="G34" s="44"/>
      <c r="H34" s="44"/>
      <c r="I34" s="44"/>
      <c r="J34" s="44"/>
      <c r="K34" s="44"/>
      <c r="L34" s="44"/>
      <c r="M34" s="44"/>
      <c r="N34" s="44"/>
      <c r="O34" s="44"/>
      <c r="P34" s="55"/>
    </row>
    <row r="35" spans="1:32" ht="23" x14ac:dyDescent="0.25">
      <c r="A35" s="48"/>
      <c r="B35" s="48"/>
      <c r="C35" s="48"/>
      <c r="D35" s="48"/>
      <c r="E35" s="48"/>
      <c r="F35" s="48"/>
      <c r="G35" s="48"/>
      <c r="H35" s="48"/>
      <c r="I35" s="48"/>
      <c r="J35" s="48"/>
      <c r="K35" s="48"/>
      <c r="L35" s="48"/>
      <c r="M35" s="48"/>
      <c r="N35" s="48"/>
      <c r="O35" s="48"/>
      <c r="P35" s="55"/>
    </row>
    <row r="36" spans="1:32" ht="23" x14ac:dyDescent="0.25">
      <c r="A36" s="45" t="s">
        <v>4</v>
      </c>
      <c r="B36" s="45" t="s">
        <v>86</v>
      </c>
      <c r="C36" s="49"/>
      <c r="D36" s="49"/>
      <c r="E36" s="49"/>
      <c r="F36" s="49"/>
      <c r="G36" s="49" t="s">
        <v>75</v>
      </c>
      <c r="H36" s="49"/>
      <c r="I36" s="49"/>
      <c r="J36" s="49"/>
      <c r="K36" s="49"/>
      <c r="L36" s="49"/>
      <c r="M36" s="49"/>
      <c r="N36" s="49"/>
      <c r="O36" s="49"/>
      <c r="P36" s="55"/>
    </row>
    <row r="37" spans="1:32" ht="23" x14ac:dyDescent="0.25">
      <c r="A37" s="45" t="s">
        <v>12</v>
      </c>
      <c r="B37" s="45" t="s">
        <v>87</v>
      </c>
      <c r="C37" s="45" t="s">
        <v>77</v>
      </c>
      <c r="D37" s="45">
        <v>1</v>
      </c>
      <c r="E37" s="45">
        <f>D37+1</f>
        <v>2</v>
      </c>
      <c r="F37" s="45">
        <f t="shared" ref="F37:O37" si="17">E37+1</f>
        <v>3</v>
      </c>
      <c r="G37" s="45">
        <f t="shared" si="17"/>
        <v>4</v>
      </c>
      <c r="H37" s="45">
        <f t="shared" si="17"/>
        <v>5</v>
      </c>
      <c r="I37" s="45">
        <f t="shared" si="17"/>
        <v>6</v>
      </c>
      <c r="J37" s="45">
        <f t="shared" si="17"/>
        <v>7</v>
      </c>
      <c r="K37" s="45">
        <f t="shared" si="17"/>
        <v>8</v>
      </c>
      <c r="L37" s="45">
        <f t="shared" si="17"/>
        <v>9</v>
      </c>
      <c r="M37" s="45">
        <f t="shared" si="17"/>
        <v>10</v>
      </c>
      <c r="N37" s="45">
        <f t="shared" si="17"/>
        <v>11</v>
      </c>
      <c r="O37" s="45">
        <f t="shared" si="17"/>
        <v>12</v>
      </c>
      <c r="P37" s="55"/>
      <c r="AF37" s="40" t="s">
        <v>144</v>
      </c>
    </row>
    <row r="38" spans="1:32" ht="23" x14ac:dyDescent="0.25">
      <c r="A38" s="131" t="s">
        <v>78</v>
      </c>
      <c r="B38" s="132"/>
      <c r="C38" s="45"/>
      <c r="D38" s="45">
        <f>2*$D$8</f>
        <v>100</v>
      </c>
      <c r="E38" s="45">
        <f>$E$8*2</f>
        <v>100</v>
      </c>
      <c r="F38" s="45">
        <f>$F$8*2</f>
        <v>200</v>
      </c>
      <c r="G38" s="45">
        <f>$G$8*2</f>
        <v>200</v>
      </c>
      <c r="H38" s="45">
        <f>$H$8*2</f>
        <v>50</v>
      </c>
      <c r="I38" s="45">
        <f>$I$8*2</f>
        <v>50</v>
      </c>
      <c r="J38" s="45">
        <f>$J$8*2</f>
        <v>50</v>
      </c>
      <c r="K38" s="45">
        <f>$K$8*2</f>
        <v>50</v>
      </c>
      <c r="L38" s="45">
        <f>$L$8*2</f>
        <v>50</v>
      </c>
      <c r="M38" s="45">
        <f>$M$8*2</f>
        <v>50</v>
      </c>
      <c r="N38" s="45">
        <f>$N$8*2</f>
        <v>0</v>
      </c>
      <c r="O38" s="45">
        <f>$O$8*2</f>
        <v>0</v>
      </c>
      <c r="P38" s="55"/>
      <c r="AD38" s="40" t="s">
        <v>100</v>
      </c>
      <c r="AE38">
        <v>72780</v>
      </c>
    </row>
    <row r="39" spans="1:32" ht="23" x14ac:dyDescent="0.25">
      <c r="A39" s="131" t="s">
        <v>79</v>
      </c>
      <c r="B39" s="132"/>
      <c r="C39" s="45"/>
      <c r="D39" s="45"/>
      <c r="E39" s="45"/>
      <c r="F39" s="45"/>
      <c r="G39" s="45"/>
      <c r="H39" s="45"/>
      <c r="I39" s="45"/>
      <c r="J39" s="45"/>
      <c r="K39" s="45"/>
      <c r="L39" s="45"/>
      <c r="M39" s="45"/>
      <c r="N39" s="45"/>
      <c r="O39" s="45"/>
      <c r="P39" s="55"/>
      <c r="AD39" s="40" t="s">
        <v>142</v>
      </c>
      <c r="AE39">
        <v>100</v>
      </c>
      <c r="AF39">
        <f>AE38/AE41*AE39</f>
        <v>603.24124527422691</v>
      </c>
    </row>
    <row r="40" spans="1:32" ht="23" x14ac:dyDescent="0.25">
      <c r="A40" s="131" t="s">
        <v>80</v>
      </c>
      <c r="B40" s="132"/>
      <c r="C40" s="45">
        <v>250</v>
      </c>
      <c r="D40" s="45">
        <f t="shared" ref="D40:O40" si="18">C40+D42-D38</f>
        <v>150</v>
      </c>
      <c r="E40" s="45">
        <f t="shared" si="18"/>
        <v>50</v>
      </c>
      <c r="F40" s="45">
        <f t="shared" si="18"/>
        <v>10</v>
      </c>
      <c r="G40" s="45">
        <f t="shared" si="18"/>
        <v>10</v>
      </c>
      <c r="H40" s="45">
        <f t="shared" si="18"/>
        <v>0</v>
      </c>
      <c r="I40" s="45">
        <f t="shared" si="18"/>
        <v>30</v>
      </c>
      <c r="J40" s="45">
        <f t="shared" si="18"/>
        <v>20</v>
      </c>
      <c r="K40" s="45">
        <f t="shared" si="18"/>
        <v>10</v>
      </c>
      <c r="L40" s="45">
        <f t="shared" si="18"/>
        <v>0</v>
      </c>
      <c r="M40" s="45">
        <f t="shared" si="18"/>
        <v>30</v>
      </c>
      <c r="N40" s="45">
        <f t="shared" si="18"/>
        <v>30</v>
      </c>
      <c r="O40" s="45">
        <f t="shared" si="18"/>
        <v>30</v>
      </c>
      <c r="P40" s="54"/>
      <c r="AD40" s="40" t="s">
        <v>143</v>
      </c>
      <c r="AE40">
        <v>0.1</v>
      </c>
      <c r="AF40">
        <f>AE41/2*AE40</f>
        <v>603.24124527422691</v>
      </c>
    </row>
    <row r="41" spans="1:32" ht="23" x14ac:dyDescent="0.25">
      <c r="A41" s="94" t="s">
        <v>81</v>
      </c>
      <c r="B41" s="52"/>
      <c r="C41" s="45"/>
      <c r="D41" s="45">
        <f t="shared" ref="D41:O41" si="19">IF(D38&gt;=C40,D38-C40,0)</f>
        <v>0</v>
      </c>
      <c r="E41" s="45">
        <f t="shared" si="19"/>
        <v>0</v>
      </c>
      <c r="F41" s="45">
        <f t="shared" si="19"/>
        <v>150</v>
      </c>
      <c r="G41" s="45">
        <f t="shared" si="19"/>
        <v>190</v>
      </c>
      <c r="H41" s="45">
        <f t="shared" si="19"/>
        <v>40</v>
      </c>
      <c r="I41" s="45">
        <f t="shared" si="19"/>
        <v>50</v>
      </c>
      <c r="J41" s="45">
        <f t="shared" si="19"/>
        <v>20</v>
      </c>
      <c r="K41" s="45">
        <f t="shared" si="19"/>
        <v>30</v>
      </c>
      <c r="L41" s="45">
        <f t="shared" si="19"/>
        <v>40</v>
      </c>
      <c r="M41" s="45">
        <f t="shared" si="19"/>
        <v>50</v>
      </c>
      <c r="N41" s="45">
        <f t="shared" si="19"/>
        <v>0</v>
      </c>
      <c r="O41" s="45">
        <f t="shared" si="19"/>
        <v>0</v>
      </c>
      <c r="P41" s="55"/>
      <c r="AE41">
        <f>(2*AE38*AE39/AE40)^0.5</f>
        <v>12064.824905484538</v>
      </c>
    </row>
    <row r="42" spans="1:32" ht="23" x14ac:dyDescent="0.25">
      <c r="A42" s="131" t="s">
        <v>82</v>
      </c>
      <c r="B42" s="132"/>
      <c r="C42" s="45"/>
      <c r="D42" s="45">
        <f>CEILING(D41/40,1)*40</f>
        <v>0</v>
      </c>
      <c r="E42" s="45">
        <f t="shared" ref="E42:O42" si="20">CEILING(E41/40,1)*40</f>
        <v>0</v>
      </c>
      <c r="F42" s="45">
        <f t="shared" si="20"/>
        <v>160</v>
      </c>
      <c r="G42" s="45">
        <f t="shared" si="20"/>
        <v>200</v>
      </c>
      <c r="H42" s="45">
        <f t="shared" si="20"/>
        <v>40</v>
      </c>
      <c r="I42" s="45">
        <f t="shared" si="20"/>
        <v>80</v>
      </c>
      <c r="J42" s="45">
        <f t="shared" si="20"/>
        <v>40</v>
      </c>
      <c r="K42" s="45">
        <f t="shared" si="20"/>
        <v>40</v>
      </c>
      <c r="L42" s="45">
        <f t="shared" si="20"/>
        <v>40</v>
      </c>
      <c r="M42" s="45">
        <f t="shared" si="20"/>
        <v>80</v>
      </c>
      <c r="N42" s="45">
        <f t="shared" si="20"/>
        <v>0</v>
      </c>
      <c r="O42" s="45">
        <f t="shared" si="20"/>
        <v>0</v>
      </c>
      <c r="P42" s="55"/>
    </row>
    <row r="43" spans="1:32" ht="23" x14ac:dyDescent="0.25">
      <c r="A43" s="131" t="s">
        <v>83</v>
      </c>
      <c r="B43" s="132"/>
      <c r="C43" s="50">
        <f>D42</f>
        <v>0</v>
      </c>
      <c r="D43" s="45">
        <f>E42</f>
        <v>0</v>
      </c>
      <c r="E43" s="45">
        <f t="shared" ref="E43:O43" si="21">F42</f>
        <v>160</v>
      </c>
      <c r="F43" s="45">
        <f t="shared" si="21"/>
        <v>200</v>
      </c>
      <c r="G43" s="45">
        <f t="shared" si="21"/>
        <v>40</v>
      </c>
      <c r="H43" s="45">
        <f t="shared" si="21"/>
        <v>80</v>
      </c>
      <c r="I43" s="45">
        <f t="shared" si="21"/>
        <v>40</v>
      </c>
      <c r="J43" s="45">
        <f t="shared" si="21"/>
        <v>40</v>
      </c>
      <c r="K43" s="45">
        <f t="shared" si="21"/>
        <v>40</v>
      </c>
      <c r="L43" s="45">
        <f t="shared" si="21"/>
        <v>80</v>
      </c>
      <c r="M43" s="45">
        <f t="shared" si="21"/>
        <v>0</v>
      </c>
      <c r="N43" s="45">
        <f t="shared" si="21"/>
        <v>0</v>
      </c>
      <c r="O43" s="45">
        <f t="shared" si="21"/>
        <v>0</v>
      </c>
      <c r="P43" s="55"/>
    </row>
    <row r="44" spans="1:32" ht="23" x14ac:dyDescent="0.25">
      <c r="A44" s="78" t="s">
        <v>16</v>
      </c>
      <c r="B44" s="44"/>
      <c r="C44" s="51"/>
      <c r="D44" s="56">
        <f>D43*0.5</f>
        <v>0</v>
      </c>
      <c r="E44" s="56">
        <f t="shared" ref="E44:O44" si="22">E43*0.5</f>
        <v>80</v>
      </c>
      <c r="F44" s="56">
        <f t="shared" si="22"/>
        <v>100</v>
      </c>
      <c r="G44" s="56">
        <f t="shared" si="22"/>
        <v>20</v>
      </c>
      <c r="H44" s="56">
        <f t="shared" si="22"/>
        <v>40</v>
      </c>
      <c r="I44" s="56">
        <f t="shared" si="22"/>
        <v>20</v>
      </c>
      <c r="J44" s="56">
        <f t="shared" si="22"/>
        <v>20</v>
      </c>
      <c r="K44" s="56">
        <f t="shared" si="22"/>
        <v>20</v>
      </c>
      <c r="L44" s="56">
        <f t="shared" si="22"/>
        <v>40</v>
      </c>
      <c r="M44" s="56">
        <f t="shared" si="22"/>
        <v>0</v>
      </c>
      <c r="N44" s="56">
        <f t="shared" si="22"/>
        <v>0</v>
      </c>
      <c r="O44" s="56">
        <f t="shared" si="22"/>
        <v>0</v>
      </c>
      <c r="P44" s="55"/>
    </row>
    <row r="45" spans="1:32" ht="23" x14ac:dyDescent="0.25">
      <c r="A45" s="44"/>
      <c r="B45" s="44"/>
      <c r="C45" s="51"/>
      <c r="D45" s="44"/>
      <c r="E45" s="44"/>
      <c r="F45" s="44"/>
      <c r="G45" s="44"/>
      <c r="H45" s="44"/>
      <c r="I45" s="44"/>
      <c r="J45" s="44"/>
      <c r="K45" s="44"/>
      <c r="L45" s="44"/>
      <c r="M45" s="44"/>
      <c r="N45" s="44"/>
      <c r="O45" s="44"/>
      <c r="P45" s="55"/>
    </row>
    <row r="46" spans="1:32" ht="23" x14ac:dyDescent="0.25">
      <c r="A46" s="48"/>
      <c r="B46" s="48"/>
      <c r="C46" s="48"/>
      <c r="D46" s="48"/>
      <c r="E46" s="48"/>
      <c r="F46" s="48"/>
      <c r="G46" s="48"/>
      <c r="H46" s="48"/>
      <c r="I46" s="48"/>
      <c r="J46" s="48"/>
      <c r="K46" s="48"/>
      <c r="L46" s="48"/>
      <c r="M46" s="48"/>
      <c r="N46" s="48"/>
      <c r="O46" s="48"/>
      <c r="P46" s="55"/>
    </row>
    <row r="47" spans="1:32" ht="23" x14ac:dyDescent="0.25">
      <c r="A47" s="48"/>
      <c r="B47" s="48"/>
      <c r="C47" s="48"/>
      <c r="D47" s="48"/>
      <c r="E47" s="48"/>
      <c r="F47" s="48"/>
      <c r="G47" s="48"/>
      <c r="H47" s="48"/>
      <c r="I47" s="48"/>
      <c r="J47" s="48"/>
      <c r="K47" s="48"/>
      <c r="L47" s="48"/>
      <c r="M47" s="48"/>
      <c r="N47" s="48"/>
      <c r="O47" s="48"/>
      <c r="P47" s="55"/>
    </row>
    <row r="48" spans="1:32" ht="23" x14ac:dyDescent="0.25">
      <c r="A48" s="45" t="s">
        <v>6</v>
      </c>
      <c r="B48" s="45" t="s">
        <v>86</v>
      </c>
      <c r="C48" s="49"/>
      <c r="D48" s="49"/>
      <c r="E48" s="49"/>
      <c r="F48" s="49"/>
      <c r="G48" s="49" t="s">
        <v>75</v>
      </c>
      <c r="H48" s="49"/>
      <c r="I48" s="49"/>
      <c r="J48" s="49"/>
      <c r="K48" s="49"/>
      <c r="L48" s="49"/>
      <c r="M48" s="49"/>
      <c r="N48" s="49"/>
      <c r="O48" s="49"/>
      <c r="P48" s="55"/>
    </row>
    <row r="49" spans="1:16" ht="23" x14ac:dyDescent="0.25">
      <c r="A49" s="45" t="s">
        <v>5</v>
      </c>
      <c r="B49" s="45" t="s">
        <v>85</v>
      </c>
      <c r="C49" s="45" t="s">
        <v>77</v>
      </c>
      <c r="D49" s="45">
        <v>1</v>
      </c>
      <c r="E49" s="45">
        <f>D49+1</f>
        <v>2</v>
      </c>
      <c r="F49" s="45">
        <f t="shared" ref="F49:O49" si="23">E49+1</f>
        <v>3</v>
      </c>
      <c r="G49" s="45">
        <f t="shared" si="23"/>
        <v>4</v>
      </c>
      <c r="H49" s="45">
        <f t="shared" si="23"/>
        <v>5</v>
      </c>
      <c r="I49" s="45">
        <f t="shared" si="23"/>
        <v>6</v>
      </c>
      <c r="J49" s="45">
        <f t="shared" si="23"/>
        <v>7</v>
      </c>
      <c r="K49" s="45">
        <f t="shared" si="23"/>
        <v>8</v>
      </c>
      <c r="L49" s="45">
        <f t="shared" si="23"/>
        <v>9</v>
      </c>
      <c r="M49" s="45">
        <f t="shared" si="23"/>
        <v>10</v>
      </c>
      <c r="N49" s="45">
        <f t="shared" si="23"/>
        <v>11</v>
      </c>
      <c r="O49" s="45">
        <f t="shared" si="23"/>
        <v>12</v>
      </c>
      <c r="P49" s="55"/>
    </row>
    <row r="50" spans="1:16" ht="23" x14ac:dyDescent="0.25">
      <c r="A50" s="131" t="s">
        <v>78</v>
      </c>
      <c r="B50" s="132"/>
      <c r="C50" s="45"/>
      <c r="D50" s="45">
        <f>D$8+'MRP Deep South'!D8</f>
        <v>75</v>
      </c>
      <c r="E50" s="45">
        <f>E$8+'MRP Deep South'!E8</f>
        <v>75</v>
      </c>
      <c r="F50" s="45">
        <f>F$8+'MRP Deep South'!F8</f>
        <v>125</v>
      </c>
      <c r="G50" s="45">
        <f>G$8+'MRP Deep South'!G8</f>
        <v>200</v>
      </c>
      <c r="H50" s="45">
        <f>H$8+'MRP Deep South'!H8</f>
        <v>100</v>
      </c>
      <c r="I50" s="45">
        <f>I$8+'MRP Deep South'!I8</f>
        <v>100</v>
      </c>
      <c r="J50" s="45">
        <f>J$8+'MRP Deep South'!J8</f>
        <v>50</v>
      </c>
      <c r="K50" s="45">
        <f>K$8+'MRP Deep South'!K8</f>
        <v>50</v>
      </c>
      <c r="L50" s="45">
        <f>L$8+'MRP Deep South'!L8</f>
        <v>75</v>
      </c>
      <c r="M50" s="45">
        <f>M$8+'MRP Deep South'!M8</f>
        <v>50</v>
      </c>
      <c r="N50" s="45">
        <f>N$8+'MRP Deep South'!N8</f>
        <v>0</v>
      </c>
      <c r="O50" s="45">
        <f>O$8+'MRP Deep South'!O8</f>
        <v>0</v>
      </c>
      <c r="P50" s="55"/>
    </row>
    <row r="51" spans="1:16" ht="23" x14ac:dyDescent="0.25">
      <c r="A51" s="131" t="s">
        <v>79</v>
      </c>
      <c r="B51" s="132"/>
      <c r="C51" s="45"/>
      <c r="D51" s="45"/>
      <c r="E51" s="45"/>
      <c r="F51" s="45"/>
      <c r="G51" s="45"/>
      <c r="H51" s="45"/>
      <c r="I51" s="45"/>
      <c r="J51" s="45"/>
      <c r="K51" s="45"/>
      <c r="L51" s="45"/>
      <c r="M51" s="45"/>
      <c r="N51" s="45"/>
      <c r="O51" s="45"/>
      <c r="P51" s="55"/>
    </row>
    <row r="52" spans="1:16" ht="23" x14ac:dyDescent="0.25">
      <c r="A52" s="131" t="s">
        <v>80</v>
      </c>
      <c r="B52" s="132"/>
      <c r="C52" s="45">
        <v>611</v>
      </c>
      <c r="D52" s="45">
        <f t="shared" ref="D52:O52" si="24">C52+D54-D50</f>
        <v>536</v>
      </c>
      <c r="E52" s="45">
        <f t="shared" si="24"/>
        <v>461</v>
      </c>
      <c r="F52" s="45">
        <f t="shared" si="24"/>
        <v>336</v>
      </c>
      <c r="G52" s="45">
        <f t="shared" si="24"/>
        <v>136</v>
      </c>
      <c r="H52" s="45">
        <f t="shared" si="24"/>
        <v>36</v>
      </c>
      <c r="I52" s="45">
        <f t="shared" si="24"/>
        <v>27</v>
      </c>
      <c r="J52" s="45">
        <f t="shared" si="24"/>
        <v>68</v>
      </c>
      <c r="K52" s="45">
        <f t="shared" si="24"/>
        <v>18</v>
      </c>
      <c r="L52" s="45">
        <f t="shared" si="24"/>
        <v>34</v>
      </c>
      <c r="M52" s="45">
        <f t="shared" si="24"/>
        <v>75</v>
      </c>
      <c r="N52" s="45">
        <f t="shared" si="24"/>
        <v>75</v>
      </c>
      <c r="O52" s="45">
        <f t="shared" si="24"/>
        <v>75</v>
      </c>
      <c r="P52" s="54"/>
    </row>
    <row r="53" spans="1:16" ht="23" x14ac:dyDescent="0.25">
      <c r="A53" s="94" t="s">
        <v>81</v>
      </c>
      <c r="B53" s="52"/>
      <c r="C53" s="45"/>
      <c r="D53" s="45">
        <f t="shared" ref="D53:O53" si="25">IF(D50&gt;=C52,D50-C52,0)</f>
        <v>0</v>
      </c>
      <c r="E53" s="45">
        <f t="shared" si="25"/>
        <v>0</v>
      </c>
      <c r="F53" s="45">
        <f t="shared" si="25"/>
        <v>0</v>
      </c>
      <c r="G53" s="45">
        <f t="shared" si="25"/>
        <v>0</v>
      </c>
      <c r="H53" s="45">
        <f t="shared" si="25"/>
        <v>0</v>
      </c>
      <c r="I53" s="45">
        <f t="shared" si="25"/>
        <v>64</v>
      </c>
      <c r="J53" s="45">
        <f t="shared" si="25"/>
        <v>23</v>
      </c>
      <c r="K53" s="45">
        <f t="shared" si="25"/>
        <v>0</v>
      </c>
      <c r="L53" s="45">
        <f t="shared" si="25"/>
        <v>57</v>
      </c>
      <c r="M53" s="45">
        <f t="shared" si="25"/>
        <v>16</v>
      </c>
      <c r="N53" s="45">
        <f t="shared" si="25"/>
        <v>0</v>
      </c>
      <c r="O53" s="45">
        <f t="shared" si="25"/>
        <v>0</v>
      </c>
      <c r="P53" s="55"/>
    </row>
    <row r="54" spans="1:16" ht="23" x14ac:dyDescent="0.25">
      <c r="A54" s="131" t="s">
        <v>82</v>
      </c>
      <c r="B54" s="132"/>
      <c r="C54" s="45"/>
      <c r="D54" s="45">
        <f>CEILING(D53/91,1)*91</f>
        <v>0</v>
      </c>
      <c r="E54" s="45">
        <f t="shared" ref="E54:O54" si="26">CEILING(E53/91,1)*91</f>
        <v>0</v>
      </c>
      <c r="F54" s="45">
        <f t="shared" si="26"/>
        <v>0</v>
      </c>
      <c r="G54" s="45">
        <f t="shared" si="26"/>
        <v>0</v>
      </c>
      <c r="H54" s="45">
        <f t="shared" si="26"/>
        <v>0</v>
      </c>
      <c r="I54" s="45">
        <f t="shared" si="26"/>
        <v>91</v>
      </c>
      <c r="J54" s="45">
        <f t="shared" si="26"/>
        <v>91</v>
      </c>
      <c r="K54" s="45">
        <f t="shared" si="26"/>
        <v>0</v>
      </c>
      <c r="L54" s="45">
        <f t="shared" si="26"/>
        <v>91</v>
      </c>
      <c r="M54" s="45">
        <f t="shared" si="26"/>
        <v>91</v>
      </c>
      <c r="N54" s="45">
        <f t="shared" si="26"/>
        <v>0</v>
      </c>
      <c r="O54" s="45">
        <f t="shared" si="26"/>
        <v>0</v>
      </c>
      <c r="P54" s="55"/>
    </row>
    <row r="55" spans="1:16" ht="23" x14ac:dyDescent="0.25">
      <c r="A55" s="131" t="s">
        <v>83</v>
      </c>
      <c r="B55" s="132"/>
      <c r="C55" s="50">
        <f>E54+D54</f>
        <v>0</v>
      </c>
      <c r="D55" s="45">
        <f t="shared" ref="D55:M55" si="27">F54</f>
        <v>0</v>
      </c>
      <c r="E55" s="45">
        <f t="shared" si="27"/>
        <v>0</v>
      </c>
      <c r="F55" s="45">
        <f t="shared" si="27"/>
        <v>0</v>
      </c>
      <c r="G55" s="45">
        <f t="shared" si="27"/>
        <v>91</v>
      </c>
      <c r="H55" s="45">
        <f t="shared" si="27"/>
        <v>91</v>
      </c>
      <c r="I55" s="45">
        <f t="shared" si="27"/>
        <v>0</v>
      </c>
      <c r="J55" s="45">
        <f t="shared" si="27"/>
        <v>91</v>
      </c>
      <c r="K55" s="45">
        <f t="shared" si="27"/>
        <v>91</v>
      </c>
      <c r="L55" s="45">
        <f t="shared" si="27"/>
        <v>0</v>
      </c>
      <c r="M55" s="45">
        <f t="shared" si="27"/>
        <v>0</v>
      </c>
      <c r="N55" s="45">
        <f>P36</f>
        <v>0</v>
      </c>
      <c r="O55" s="45">
        <f>Q36</f>
        <v>0</v>
      </c>
      <c r="P55" s="55"/>
    </row>
    <row r="56" spans="1:16" ht="23" x14ac:dyDescent="0.25">
      <c r="A56" s="78" t="s">
        <v>16</v>
      </c>
      <c r="B56" s="44"/>
      <c r="C56" s="51"/>
      <c r="D56" s="56">
        <f>D55*0.1</f>
        <v>0</v>
      </c>
      <c r="E56" s="56">
        <f t="shared" ref="E56:O56" si="28">E55*0.1</f>
        <v>0</v>
      </c>
      <c r="F56" s="56">
        <f t="shared" si="28"/>
        <v>0</v>
      </c>
      <c r="G56" s="56">
        <f t="shared" si="28"/>
        <v>9.1</v>
      </c>
      <c r="H56" s="56">
        <f t="shared" si="28"/>
        <v>9.1</v>
      </c>
      <c r="I56" s="56">
        <f t="shared" si="28"/>
        <v>0</v>
      </c>
      <c r="J56" s="56">
        <f t="shared" si="28"/>
        <v>9.1</v>
      </c>
      <c r="K56" s="56">
        <f t="shared" si="28"/>
        <v>9.1</v>
      </c>
      <c r="L56" s="56">
        <f t="shared" si="28"/>
        <v>0</v>
      </c>
      <c r="M56" s="56">
        <f t="shared" si="28"/>
        <v>0</v>
      </c>
      <c r="N56" s="56">
        <f t="shared" si="28"/>
        <v>0</v>
      </c>
      <c r="O56" s="56">
        <f t="shared" si="28"/>
        <v>0</v>
      </c>
      <c r="P56" s="55"/>
    </row>
    <row r="57" spans="1:16" ht="23" x14ac:dyDescent="0.25">
      <c r="A57" s="76" t="s">
        <v>32</v>
      </c>
      <c r="B57" s="73"/>
      <c r="C57" s="95">
        <f>2*C55*0.1</f>
        <v>0</v>
      </c>
      <c r="D57" s="48"/>
      <c r="E57" s="48"/>
      <c r="F57" s="48"/>
      <c r="G57" s="48"/>
      <c r="H57" s="48"/>
      <c r="I57" s="48"/>
      <c r="J57" s="48"/>
      <c r="K57" s="48"/>
      <c r="L57" s="48"/>
      <c r="M57" s="48"/>
      <c r="N57" s="48"/>
      <c r="O57" s="48"/>
      <c r="P57" s="55"/>
    </row>
    <row r="58" spans="1:16" ht="23" x14ac:dyDescent="0.25">
      <c r="A58" s="48"/>
      <c r="B58" s="48"/>
      <c r="C58" s="48"/>
      <c r="D58" s="48"/>
      <c r="E58" s="48"/>
      <c r="F58" s="48"/>
      <c r="G58" s="48"/>
      <c r="H58" s="48"/>
      <c r="I58" s="48"/>
      <c r="J58" s="48"/>
      <c r="K58" s="48"/>
      <c r="L58" s="48"/>
      <c r="M58" s="48"/>
      <c r="N58" s="48"/>
      <c r="O58" s="48"/>
      <c r="P58" s="55"/>
    </row>
    <row r="59" spans="1:16" ht="23" x14ac:dyDescent="0.25">
      <c r="A59" s="48"/>
      <c r="B59" s="48"/>
      <c r="C59" s="48"/>
      <c r="D59" s="48"/>
      <c r="E59" s="48"/>
      <c r="F59" s="48"/>
      <c r="G59" s="48"/>
      <c r="H59" s="48"/>
      <c r="I59" s="48"/>
      <c r="J59" s="48"/>
      <c r="K59" s="48"/>
      <c r="L59" s="48"/>
      <c r="M59" s="48"/>
      <c r="N59" s="48"/>
      <c r="O59" s="48"/>
      <c r="P59" s="55"/>
    </row>
    <row r="60" spans="1:16" ht="23" x14ac:dyDescent="0.25">
      <c r="A60" s="45" t="s">
        <v>7</v>
      </c>
      <c r="B60" s="45" t="s">
        <v>10</v>
      </c>
      <c r="C60" s="49"/>
      <c r="D60" s="49"/>
      <c r="E60" s="49"/>
      <c r="F60" s="49"/>
      <c r="G60" s="49" t="s">
        <v>75</v>
      </c>
      <c r="H60" s="49"/>
      <c r="I60" s="49"/>
      <c r="J60" s="49"/>
      <c r="K60" s="49"/>
      <c r="L60" s="49"/>
      <c r="M60" s="49"/>
      <c r="N60" s="49"/>
      <c r="O60" s="49"/>
      <c r="P60" s="55"/>
    </row>
    <row r="61" spans="1:16" ht="23" x14ac:dyDescent="0.25">
      <c r="A61" s="45" t="s">
        <v>8</v>
      </c>
      <c r="B61" s="45" t="s">
        <v>85</v>
      </c>
      <c r="C61" s="45" t="s">
        <v>77</v>
      </c>
      <c r="D61" s="45">
        <v>1</v>
      </c>
      <c r="E61" s="45">
        <f>D61+1</f>
        <v>2</v>
      </c>
      <c r="F61" s="45">
        <f t="shared" ref="F61:O61" si="29">E61+1</f>
        <v>3</v>
      </c>
      <c r="G61" s="45">
        <f t="shared" si="29"/>
        <v>4</v>
      </c>
      <c r="H61" s="45">
        <f t="shared" si="29"/>
        <v>5</v>
      </c>
      <c r="I61" s="45">
        <f t="shared" si="29"/>
        <v>6</v>
      </c>
      <c r="J61" s="45">
        <f t="shared" si="29"/>
        <v>7</v>
      </c>
      <c r="K61" s="45">
        <f t="shared" si="29"/>
        <v>8</v>
      </c>
      <c r="L61" s="45">
        <f t="shared" si="29"/>
        <v>9</v>
      </c>
      <c r="M61" s="45">
        <f t="shared" si="29"/>
        <v>10</v>
      </c>
      <c r="N61" s="45">
        <f t="shared" si="29"/>
        <v>11</v>
      </c>
      <c r="O61" s="45">
        <f t="shared" si="29"/>
        <v>12</v>
      </c>
      <c r="P61" s="55"/>
    </row>
    <row r="62" spans="1:16" ht="23" x14ac:dyDescent="0.25">
      <c r="A62" s="131" t="s">
        <v>78</v>
      </c>
      <c r="B62" s="132"/>
      <c r="C62" s="45"/>
      <c r="D62" s="45">
        <f>(D19*2)+(D31*2)+(D43*2)+(2*'MRP Deep South'!D43)+2*'MRP Deep South'!D31+2*'MRP Deep South'!D19</f>
        <v>630</v>
      </c>
      <c r="E62" s="45">
        <f>(E19*2)+(E31*2)+(E43*2)+(2*'MRP Deep South'!E43)+2*'MRP Deep South'!E31+2*'MRP Deep South'!E19</f>
        <v>1470</v>
      </c>
      <c r="F62" s="45">
        <f>(F19*2)+(F31*2)+(F43*2)+(2*'MRP Deep South'!F43)+2*'MRP Deep South'!F31+2*'MRP Deep South'!F19</f>
        <v>1920</v>
      </c>
      <c r="G62" s="45">
        <f>(G19*2)+(G31*2)+(G43*2)+(2*'MRP Deep South'!G43)+2*'MRP Deep South'!G31+2*'MRP Deep South'!G19</f>
        <v>1230</v>
      </c>
      <c r="H62" s="45">
        <f>(H19*2)+(H31*2)+(H43*2)+(2*'MRP Deep South'!H43)+2*'MRP Deep South'!H31+2*'MRP Deep South'!H19</f>
        <v>1150</v>
      </c>
      <c r="I62" s="45">
        <f>(I19*2)+(I31*2)+(I43*2)+(2*'MRP Deep South'!I43)+2*'MRP Deep South'!I31+2*'MRP Deep South'!I19</f>
        <v>440</v>
      </c>
      <c r="J62" s="45">
        <f>(J19*2)+(J31*2)+(J43*2)+(2*'MRP Deep South'!J43)+2*'MRP Deep South'!J31+2*'MRP Deep South'!J19</f>
        <v>710</v>
      </c>
      <c r="K62" s="45">
        <f>(K19*2)+(K31*2)+(K43*2)+(2*'MRP Deep South'!K43)+2*'MRP Deep South'!K31+2*'MRP Deep South'!K19</f>
        <v>890</v>
      </c>
      <c r="L62" s="45">
        <f>(L19*2)+(L31*2)+(L43*2)+(2*'MRP Deep South'!L43)+2*'MRP Deep South'!L31+2*'MRP Deep South'!L19</f>
        <v>440</v>
      </c>
      <c r="M62" s="45">
        <f>(M19*2)+(M31*2)+(M43*2)+(2*'MRP Deep South'!M43)+2*'MRP Deep South'!M31+2*'MRP Deep South'!M19</f>
        <v>0</v>
      </c>
      <c r="N62" s="45">
        <f>(N19*2)+(N31*2)+(N43*2)+(2*'MRP Deep South'!N43)+2*'MRP Deep South'!N31+2*'MRP Deep South'!N19</f>
        <v>0</v>
      </c>
      <c r="O62" s="45">
        <f>(O19*2)+(O31*2)+(O43*2)+(2*'MRP Deep South'!O43)+2*'MRP Deep South'!O31+2*'MRP Deep South'!O19</f>
        <v>0</v>
      </c>
      <c r="P62" s="55"/>
    </row>
    <row r="63" spans="1:16" ht="23" x14ac:dyDescent="0.25">
      <c r="A63" s="131" t="s">
        <v>79</v>
      </c>
      <c r="B63" s="132"/>
      <c r="C63" s="45"/>
      <c r="D63" s="45"/>
      <c r="E63" s="45"/>
      <c r="F63" s="45"/>
      <c r="G63" s="45"/>
      <c r="H63" s="45"/>
      <c r="I63" s="45"/>
      <c r="J63" s="45"/>
      <c r="K63" s="45"/>
      <c r="L63" s="45"/>
      <c r="M63" s="45"/>
      <c r="N63" s="45"/>
      <c r="O63" s="45"/>
      <c r="P63" s="55"/>
    </row>
    <row r="64" spans="1:16" ht="23" x14ac:dyDescent="0.25">
      <c r="A64" s="131" t="s">
        <v>80</v>
      </c>
      <c r="B64" s="132"/>
      <c r="C64" s="45">
        <v>257</v>
      </c>
      <c r="D64" s="45">
        <f t="shared" ref="D64:O64" si="30">C64+D66-D62</f>
        <v>27</v>
      </c>
      <c r="E64" s="45">
        <f t="shared" si="30"/>
        <v>57</v>
      </c>
      <c r="F64" s="45">
        <f t="shared" si="30"/>
        <v>37</v>
      </c>
      <c r="G64" s="45">
        <f t="shared" si="30"/>
        <v>7</v>
      </c>
      <c r="H64" s="45">
        <f t="shared" si="30"/>
        <v>57</v>
      </c>
      <c r="I64" s="45">
        <f t="shared" si="30"/>
        <v>17</v>
      </c>
      <c r="J64" s="45">
        <f t="shared" si="30"/>
        <v>7</v>
      </c>
      <c r="K64" s="45">
        <f t="shared" si="30"/>
        <v>17</v>
      </c>
      <c r="L64" s="45">
        <f t="shared" si="30"/>
        <v>77</v>
      </c>
      <c r="M64" s="45">
        <f t="shared" si="30"/>
        <v>77</v>
      </c>
      <c r="N64" s="45">
        <f t="shared" si="30"/>
        <v>77</v>
      </c>
      <c r="O64" s="45">
        <f t="shared" si="30"/>
        <v>77</v>
      </c>
      <c r="P64" s="54"/>
    </row>
    <row r="65" spans="1:16" ht="23" x14ac:dyDescent="0.25">
      <c r="A65" s="94" t="s">
        <v>81</v>
      </c>
      <c r="B65" s="52"/>
      <c r="C65" s="45"/>
      <c r="D65" s="45">
        <f t="shared" ref="D65:O65" si="31">IF(D62&gt;=C64,D62-C64,0)</f>
        <v>373</v>
      </c>
      <c r="E65" s="45">
        <f t="shared" si="31"/>
        <v>1443</v>
      </c>
      <c r="F65" s="45">
        <f t="shared" si="31"/>
        <v>1863</v>
      </c>
      <c r="G65" s="45">
        <f t="shared" si="31"/>
        <v>1193</v>
      </c>
      <c r="H65" s="45">
        <f t="shared" si="31"/>
        <v>1143</v>
      </c>
      <c r="I65" s="45">
        <f t="shared" si="31"/>
        <v>383</v>
      </c>
      <c r="J65" s="45">
        <f t="shared" si="31"/>
        <v>693</v>
      </c>
      <c r="K65" s="45">
        <f t="shared" si="31"/>
        <v>883</v>
      </c>
      <c r="L65" s="45">
        <f t="shared" si="31"/>
        <v>423</v>
      </c>
      <c r="M65" s="45">
        <f t="shared" si="31"/>
        <v>0</v>
      </c>
      <c r="N65" s="45">
        <f t="shared" si="31"/>
        <v>0</v>
      </c>
      <c r="O65" s="45">
        <f t="shared" si="31"/>
        <v>0</v>
      </c>
    </row>
    <row r="66" spans="1:16" ht="23" x14ac:dyDescent="0.25">
      <c r="A66" s="131" t="s">
        <v>82</v>
      </c>
      <c r="B66" s="132"/>
      <c r="C66" s="45"/>
      <c r="D66" s="45">
        <f>CEILING(D65/100,1)*100</f>
        <v>400</v>
      </c>
      <c r="E66" s="45">
        <f>CEILING(E65/100,1)*100</f>
        <v>1500</v>
      </c>
      <c r="F66" s="45">
        <f t="shared" ref="F66:O66" si="32">CEILING(F65/100,1)*100</f>
        <v>1900</v>
      </c>
      <c r="G66" s="45">
        <f t="shared" si="32"/>
        <v>1200</v>
      </c>
      <c r="H66" s="45">
        <f t="shared" si="32"/>
        <v>1200</v>
      </c>
      <c r="I66" s="45">
        <f t="shared" si="32"/>
        <v>400</v>
      </c>
      <c r="J66" s="45">
        <f t="shared" si="32"/>
        <v>700</v>
      </c>
      <c r="K66" s="45">
        <f t="shared" si="32"/>
        <v>900</v>
      </c>
      <c r="L66" s="45">
        <f t="shared" si="32"/>
        <v>500</v>
      </c>
      <c r="M66" s="45">
        <f t="shared" si="32"/>
        <v>0</v>
      </c>
      <c r="N66" s="45">
        <f t="shared" si="32"/>
        <v>0</v>
      </c>
      <c r="O66" s="45">
        <f t="shared" si="32"/>
        <v>0</v>
      </c>
    </row>
    <row r="67" spans="1:16" ht="23" x14ac:dyDescent="0.25">
      <c r="A67" s="131" t="s">
        <v>83</v>
      </c>
      <c r="B67" s="132"/>
      <c r="C67" s="50">
        <f>E66+D66</f>
        <v>1900</v>
      </c>
      <c r="D67" s="45">
        <f>F66</f>
        <v>1900</v>
      </c>
      <c r="E67" s="45">
        <f t="shared" ref="E67:M67" si="33">G66</f>
        <v>1200</v>
      </c>
      <c r="F67" s="45">
        <f t="shared" si="33"/>
        <v>1200</v>
      </c>
      <c r="G67" s="45">
        <f t="shared" si="33"/>
        <v>400</v>
      </c>
      <c r="H67" s="45">
        <f t="shared" si="33"/>
        <v>700</v>
      </c>
      <c r="I67" s="45">
        <f t="shared" si="33"/>
        <v>900</v>
      </c>
      <c r="J67" s="45">
        <f t="shared" si="33"/>
        <v>500</v>
      </c>
      <c r="K67" s="45">
        <f t="shared" si="33"/>
        <v>0</v>
      </c>
      <c r="L67" s="45">
        <f t="shared" si="33"/>
        <v>0</v>
      </c>
      <c r="M67" s="45">
        <f t="shared" si="33"/>
        <v>0</v>
      </c>
      <c r="N67" s="45">
        <f>P58</f>
        <v>0</v>
      </c>
      <c r="O67" s="45">
        <f>Q58</f>
        <v>0</v>
      </c>
    </row>
    <row r="68" spans="1:16" ht="23" x14ac:dyDescent="0.25">
      <c r="A68" s="78" t="s">
        <v>16</v>
      </c>
      <c r="B68" s="44"/>
      <c r="C68" s="51"/>
      <c r="D68" s="56">
        <f>D67*0.01</f>
        <v>19</v>
      </c>
      <c r="E68" s="56">
        <f t="shared" ref="E68:O68" si="34">E67*0.01</f>
        <v>12</v>
      </c>
      <c r="F68" s="56">
        <f t="shared" si="34"/>
        <v>12</v>
      </c>
      <c r="G68" s="56">
        <f t="shared" si="34"/>
        <v>4</v>
      </c>
      <c r="H68" s="56">
        <f t="shared" si="34"/>
        <v>7</v>
      </c>
      <c r="I68" s="56">
        <f t="shared" si="34"/>
        <v>9</v>
      </c>
      <c r="J68" s="56">
        <f t="shared" si="34"/>
        <v>5</v>
      </c>
      <c r="K68" s="56">
        <f t="shared" si="34"/>
        <v>0</v>
      </c>
      <c r="L68" s="56">
        <f t="shared" si="34"/>
        <v>0</v>
      </c>
      <c r="M68" s="56">
        <f t="shared" si="34"/>
        <v>0</v>
      </c>
      <c r="N68" s="56">
        <f t="shared" si="34"/>
        <v>0</v>
      </c>
      <c r="O68" s="56">
        <f t="shared" si="34"/>
        <v>0</v>
      </c>
      <c r="P68" s="55"/>
    </row>
    <row r="69" spans="1:16" ht="23" x14ac:dyDescent="0.25">
      <c r="A69" s="76" t="s">
        <v>32</v>
      </c>
      <c r="B69" s="73"/>
      <c r="C69" s="95">
        <f>2*C67*0.01</f>
        <v>38</v>
      </c>
      <c r="D69" s="48"/>
      <c r="E69" s="48"/>
      <c r="F69" s="48"/>
      <c r="G69" s="48"/>
      <c r="H69" s="48"/>
      <c r="I69" s="48"/>
      <c r="J69" s="48"/>
      <c r="K69" s="48"/>
      <c r="L69" s="48"/>
      <c r="M69" s="48"/>
      <c r="N69" s="48"/>
      <c r="O69" s="48"/>
      <c r="P69" s="55"/>
    </row>
    <row r="70" spans="1:16" ht="23" x14ac:dyDescent="0.25">
      <c r="A70" s="48"/>
      <c r="B70" s="48"/>
      <c r="C70" s="48"/>
      <c r="D70" s="48"/>
      <c r="E70" s="48"/>
      <c r="F70" s="48"/>
      <c r="G70" s="48"/>
      <c r="H70" s="48"/>
      <c r="I70" s="48"/>
      <c r="J70" s="48"/>
      <c r="K70" s="48"/>
      <c r="L70" s="48"/>
      <c r="M70" s="48"/>
      <c r="N70" s="48"/>
      <c r="O70" s="48"/>
      <c r="P70" s="57"/>
    </row>
    <row r="71" spans="1:16" ht="23" x14ac:dyDescent="0.25">
      <c r="A71" s="117" t="s">
        <v>37</v>
      </c>
      <c r="I71" s="48"/>
      <c r="J71" s="48"/>
      <c r="K71" s="48"/>
      <c r="L71" s="48"/>
      <c r="M71" s="48"/>
      <c r="N71" s="48"/>
      <c r="O71" s="48"/>
      <c r="P71" s="55"/>
    </row>
    <row r="72" spans="1:16" ht="23" x14ac:dyDescent="0.25">
      <c r="A72" s="117" t="s">
        <v>39</v>
      </c>
      <c r="I72" s="48"/>
      <c r="J72" s="48"/>
      <c r="K72" s="48"/>
      <c r="L72" s="48"/>
      <c r="M72" s="48"/>
      <c r="N72" s="48"/>
      <c r="O72" s="48"/>
      <c r="P72" s="55"/>
    </row>
    <row r="73" spans="1:16" ht="23" x14ac:dyDescent="0.25">
      <c r="A73" s="117" t="s">
        <v>38</v>
      </c>
      <c r="I73" s="48"/>
      <c r="J73" s="48"/>
      <c r="K73" s="48"/>
      <c r="L73" s="48"/>
      <c r="M73" s="48"/>
      <c r="N73" s="48"/>
      <c r="O73" s="48"/>
      <c r="P73" s="55"/>
    </row>
    <row r="74" spans="1:16" ht="23" x14ac:dyDescent="0.25">
      <c r="A74" s="89"/>
      <c r="I74" s="48"/>
      <c r="J74" s="48"/>
      <c r="K74" s="48"/>
      <c r="L74" s="48"/>
      <c r="M74" s="48"/>
      <c r="N74" s="48"/>
      <c r="O74" s="48"/>
      <c r="P74" s="55"/>
    </row>
    <row r="75" spans="1:16" ht="25" x14ac:dyDescent="0.25">
      <c r="A75" s="48" t="s">
        <v>88</v>
      </c>
      <c r="C75" s="107">
        <f>C10</f>
        <v>312</v>
      </c>
      <c r="I75" s="48"/>
      <c r="J75" s="48"/>
      <c r="K75" s="48"/>
      <c r="L75" s="48"/>
      <c r="M75" s="48"/>
      <c r="N75" s="48"/>
      <c r="O75" s="48"/>
      <c r="P75" s="55"/>
    </row>
    <row r="76" spans="1:16" ht="25" x14ac:dyDescent="0.25">
      <c r="A76" s="48" t="s">
        <v>89</v>
      </c>
      <c r="C76" s="107">
        <f>C69+C57</f>
        <v>38</v>
      </c>
      <c r="I76" s="48"/>
      <c r="J76" s="48"/>
      <c r="K76" s="48"/>
      <c r="L76" s="48"/>
      <c r="M76" s="48"/>
      <c r="N76" s="48"/>
      <c r="O76" s="48"/>
      <c r="P76" s="55"/>
    </row>
    <row r="77" spans="1:16" ht="23" x14ac:dyDescent="0.25">
      <c r="A77" s="48"/>
      <c r="B77" s="48"/>
      <c r="C77" s="103">
        <f>SUM(C75:C76)</f>
        <v>350</v>
      </c>
      <c r="D77" s="48"/>
      <c r="E77" s="48"/>
      <c r="F77" s="48"/>
      <c r="G77" s="48"/>
      <c r="H77" s="48"/>
      <c r="I77" s="48"/>
      <c r="J77" s="48"/>
      <c r="K77" s="48"/>
      <c r="L77" s="48"/>
      <c r="M77" s="48"/>
      <c r="N77" s="48"/>
      <c r="O77" s="48"/>
      <c r="P77" s="55"/>
    </row>
    <row r="78" spans="1:16" ht="23" x14ac:dyDescent="0.25">
      <c r="A78" s="48"/>
      <c r="B78" s="48"/>
      <c r="C78" s="48"/>
      <c r="D78" s="48"/>
      <c r="E78" s="48"/>
      <c r="F78" s="48"/>
      <c r="G78" s="48"/>
      <c r="H78" s="48"/>
      <c r="I78" s="48"/>
      <c r="J78" s="48"/>
      <c r="K78" s="48"/>
      <c r="L78" s="48"/>
      <c r="M78" s="48"/>
      <c r="N78" s="48"/>
      <c r="O78" s="48"/>
      <c r="P78" s="55"/>
    </row>
    <row r="79" spans="1:16" ht="23" x14ac:dyDescent="0.25">
      <c r="A79" s="48"/>
      <c r="B79" s="48"/>
      <c r="C79" s="48"/>
      <c r="D79" s="48"/>
      <c r="E79" s="48"/>
      <c r="F79" s="48"/>
      <c r="G79" s="48"/>
      <c r="H79" s="48"/>
      <c r="I79" s="48"/>
      <c r="J79" s="48"/>
      <c r="K79" s="48"/>
      <c r="L79" s="48"/>
      <c r="M79" s="48"/>
      <c r="N79" s="48"/>
      <c r="O79" s="48"/>
      <c r="P79" s="55"/>
    </row>
    <row r="80" spans="1:16" ht="23" x14ac:dyDescent="0.25">
      <c r="A80" s="48"/>
      <c r="B80" s="48"/>
      <c r="C80" s="48"/>
      <c r="D80" s="48"/>
      <c r="E80" s="48"/>
      <c r="F80" s="48"/>
      <c r="G80" s="48"/>
      <c r="H80" s="48"/>
      <c r="I80" s="48"/>
      <c r="J80" s="48"/>
      <c r="K80" s="48"/>
      <c r="L80" s="48"/>
      <c r="M80" s="48"/>
      <c r="N80" s="48"/>
      <c r="O80" s="48"/>
      <c r="P80" s="55"/>
    </row>
    <row r="81" spans="1:16" ht="23" x14ac:dyDescent="0.25">
      <c r="A81" s="48"/>
      <c r="B81" s="48"/>
      <c r="C81" s="48"/>
      <c r="D81" s="48"/>
      <c r="E81" s="48"/>
      <c r="F81" s="48"/>
      <c r="G81" s="48"/>
      <c r="H81" s="48"/>
      <c r="I81" s="48"/>
      <c r="J81" s="48"/>
      <c r="K81" s="48"/>
      <c r="L81" s="48"/>
      <c r="M81" s="48"/>
      <c r="N81" s="48"/>
      <c r="O81" s="48"/>
      <c r="P81" s="55"/>
    </row>
    <row r="82" spans="1:16" ht="23" x14ac:dyDescent="0.25">
      <c r="A82" s="48"/>
      <c r="B82" s="48"/>
      <c r="C82" s="48"/>
      <c r="D82" s="48"/>
      <c r="E82" s="48"/>
      <c r="F82" s="48"/>
      <c r="G82" s="48"/>
      <c r="H82" s="48"/>
      <c r="I82" s="48"/>
      <c r="J82" s="48"/>
      <c r="K82" s="48"/>
      <c r="L82" s="48"/>
      <c r="M82" s="48"/>
      <c r="N82" s="48"/>
      <c r="O82" s="48"/>
      <c r="P82" s="55"/>
    </row>
    <row r="83" spans="1:16" ht="23" x14ac:dyDescent="0.25">
      <c r="A83" s="48"/>
      <c r="B83" s="48"/>
      <c r="C83" s="48"/>
      <c r="D83" s="48"/>
      <c r="E83" s="48"/>
      <c r="F83" s="48"/>
      <c r="G83" s="48"/>
      <c r="H83" s="48"/>
      <c r="I83" s="48"/>
      <c r="J83" s="48"/>
      <c r="K83" s="48"/>
      <c r="L83" s="48"/>
      <c r="M83" s="48"/>
      <c r="N83" s="48"/>
      <c r="O83" s="48"/>
      <c r="P83" s="55"/>
    </row>
    <row r="84" spans="1:16" ht="23" x14ac:dyDescent="0.25">
      <c r="A84" s="48"/>
      <c r="B84" s="48"/>
      <c r="C84" s="48"/>
      <c r="D84" s="48"/>
      <c r="E84" s="48"/>
      <c r="F84" s="48"/>
      <c r="G84" s="48"/>
      <c r="H84" s="48"/>
      <c r="I84" s="48"/>
      <c r="J84" s="48"/>
      <c r="K84" s="48"/>
      <c r="L84" s="48"/>
      <c r="M84" s="48"/>
      <c r="N84" s="48"/>
      <c r="O84" s="48"/>
      <c r="P84" s="55"/>
    </row>
    <row r="85" spans="1:16" x14ac:dyDescent="0.15">
      <c r="P85" s="55"/>
    </row>
    <row r="86" spans="1:16" x14ac:dyDescent="0.15">
      <c r="P86" s="55"/>
    </row>
    <row r="87" spans="1:16" x14ac:dyDescent="0.15">
      <c r="P87" s="55"/>
    </row>
    <row r="88" spans="1:16" x14ac:dyDescent="0.15">
      <c r="P88" s="55"/>
    </row>
    <row r="89" spans="1:16" x14ac:dyDescent="0.15">
      <c r="P89" s="55"/>
    </row>
    <row r="90" spans="1:16" x14ac:dyDescent="0.15">
      <c r="P90" s="55"/>
    </row>
    <row r="91" spans="1:16" x14ac:dyDescent="0.15">
      <c r="P91" s="55"/>
    </row>
    <row r="92" spans="1:16" x14ac:dyDescent="0.15">
      <c r="P92" s="55"/>
    </row>
    <row r="93" spans="1:16" x14ac:dyDescent="0.15">
      <c r="P93" s="55"/>
    </row>
    <row r="94" spans="1:16" x14ac:dyDescent="0.15">
      <c r="P94" s="55"/>
    </row>
    <row r="95" spans="1:16" x14ac:dyDescent="0.15">
      <c r="P95" s="55"/>
    </row>
    <row r="96" spans="1:16" x14ac:dyDescent="0.15">
      <c r="P96" s="55"/>
    </row>
    <row r="97" spans="16:16" x14ac:dyDescent="0.15">
      <c r="P97" s="55"/>
    </row>
    <row r="98" spans="16:16" x14ac:dyDescent="0.15">
      <c r="P98" s="55"/>
    </row>
    <row r="99" spans="16:16" x14ac:dyDescent="0.15">
      <c r="P99" s="55"/>
    </row>
    <row r="100" spans="16:16" x14ac:dyDescent="0.15">
      <c r="P100" s="55"/>
    </row>
    <row r="101" spans="16:16" x14ac:dyDescent="0.15">
      <c r="P101" s="55"/>
    </row>
    <row r="102" spans="16:16" x14ac:dyDescent="0.15">
      <c r="P102" s="55"/>
    </row>
    <row r="103" spans="16:16" x14ac:dyDescent="0.15">
      <c r="P103" s="55"/>
    </row>
    <row r="104" spans="16:16" x14ac:dyDescent="0.15">
      <c r="P104" s="55"/>
    </row>
    <row r="105" spans="16:16" x14ac:dyDescent="0.15">
      <c r="P105" s="55"/>
    </row>
    <row r="106" spans="16:16" x14ac:dyDescent="0.15">
      <c r="P106" s="55"/>
    </row>
    <row r="107" spans="16:16" x14ac:dyDescent="0.15">
      <c r="P107" s="55"/>
    </row>
    <row r="108" spans="16:16" x14ac:dyDescent="0.15">
      <c r="P108" s="55"/>
    </row>
    <row r="109" spans="16:16" x14ac:dyDescent="0.15">
      <c r="P109" s="55"/>
    </row>
    <row r="110" spans="16:16" x14ac:dyDescent="0.15">
      <c r="P110" s="55"/>
    </row>
    <row r="111" spans="16:16" x14ac:dyDescent="0.15">
      <c r="P111" s="55"/>
    </row>
    <row r="112" spans="16:16" x14ac:dyDescent="0.15">
      <c r="P112" s="55"/>
    </row>
    <row r="113" spans="16:16" x14ac:dyDescent="0.15">
      <c r="P113" s="55"/>
    </row>
    <row r="114" spans="16:16" x14ac:dyDescent="0.15">
      <c r="P114" s="55"/>
    </row>
    <row r="115" spans="16:16" x14ac:dyDescent="0.15">
      <c r="P115" s="55"/>
    </row>
    <row r="116" spans="16:16" x14ac:dyDescent="0.15">
      <c r="P116" s="55"/>
    </row>
    <row r="117" spans="16:16" x14ac:dyDescent="0.15">
      <c r="P117" s="55"/>
    </row>
    <row r="118" spans="16:16" x14ac:dyDescent="0.15">
      <c r="P118" s="55"/>
    </row>
    <row r="119" spans="16:16" x14ac:dyDescent="0.15">
      <c r="P119" s="55"/>
    </row>
    <row r="120" spans="16:16" x14ac:dyDescent="0.15">
      <c r="P120" s="55"/>
    </row>
    <row r="121" spans="16:16" x14ac:dyDescent="0.15">
      <c r="P121" s="55"/>
    </row>
    <row r="122" spans="16:16" x14ac:dyDescent="0.15">
      <c r="P122" s="55"/>
    </row>
    <row r="123" spans="16:16" x14ac:dyDescent="0.15">
      <c r="P123" s="55"/>
    </row>
    <row r="124" spans="16:16" x14ac:dyDescent="0.15">
      <c r="P124" s="55"/>
    </row>
    <row r="125" spans="16:16" x14ac:dyDescent="0.15">
      <c r="P125" s="55"/>
    </row>
    <row r="126" spans="16:16" x14ac:dyDescent="0.15">
      <c r="P126" s="55"/>
    </row>
    <row r="127" spans="16:16" x14ac:dyDescent="0.15">
      <c r="P127" s="55"/>
    </row>
    <row r="128" spans="16:16" x14ac:dyDescent="0.15">
      <c r="P128" s="55"/>
    </row>
    <row r="129" spans="16:16" x14ac:dyDescent="0.15">
      <c r="P129" s="55"/>
    </row>
    <row r="130" spans="16:16" x14ac:dyDescent="0.15">
      <c r="P130" s="55"/>
    </row>
    <row r="131" spans="16:16" x14ac:dyDescent="0.15">
      <c r="P131" s="55"/>
    </row>
    <row r="132" spans="16:16" x14ac:dyDescent="0.15">
      <c r="P132" s="55"/>
    </row>
    <row r="133" spans="16:16" x14ac:dyDescent="0.15">
      <c r="P133" s="55"/>
    </row>
    <row r="134" spans="16:16" x14ac:dyDescent="0.15">
      <c r="P134" s="55"/>
    </row>
    <row r="135" spans="16:16" x14ac:dyDescent="0.15">
      <c r="P135" s="55"/>
    </row>
    <row r="136" spans="16:16" x14ac:dyDescent="0.15">
      <c r="P136" s="55"/>
    </row>
    <row r="137" spans="16:16" x14ac:dyDescent="0.15">
      <c r="P137" s="55"/>
    </row>
    <row r="138" spans="16:16" x14ac:dyDescent="0.15">
      <c r="P138" s="55"/>
    </row>
    <row r="139" spans="16:16" x14ac:dyDescent="0.15">
      <c r="P139" s="55"/>
    </row>
    <row r="140" spans="16:16" x14ac:dyDescent="0.15">
      <c r="P140" s="55"/>
    </row>
    <row r="141" spans="16:16" x14ac:dyDescent="0.15">
      <c r="P141" s="55"/>
    </row>
    <row r="142" spans="16:16" x14ac:dyDescent="0.15">
      <c r="P142" s="55"/>
    </row>
    <row r="143" spans="16:16" x14ac:dyDescent="0.15">
      <c r="P143" s="55"/>
    </row>
    <row r="144" spans="16:16" x14ac:dyDescent="0.15">
      <c r="P144" s="55"/>
    </row>
    <row r="145" spans="16:16" x14ac:dyDescent="0.15">
      <c r="P145" s="55"/>
    </row>
    <row r="146" spans="16:16" x14ac:dyDescent="0.15">
      <c r="P146" s="55"/>
    </row>
  </sheetData>
  <mergeCells count="25">
    <mergeCell ref="A14:B14"/>
    <mergeCell ref="A15:B15"/>
    <mergeCell ref="A16:B16"/>
    <mergeCell ref="A18:B18"/>
    <mergeCell ref="A30:B30"/>
    <mergeCell ref="A31:B31"/>
    <mergeCell ref="A38:B38"/>
    <mergeCell ref="A39:B39"/>
    <mergeCell ref="A19:B19"/>
    <mergeCell ref="A26:B26"/>
    <mergeCell ref="A27:B27"/>
    <mergeCell ref="A28:B28"/>
    <mergeCell ref="A51:B51"/>
    <mergeCell ref="A52:B52"/>
    <mergeCell ref="A54:B54"/>
    <mergeCell ref="A55:B55"/>
    <mergeCell ref="A40:B40"/>
    <mergeCell ref="A42:B42"/>
    <mergeCell ref="A43:B43"/>
    <mergeCell ref="A50:B50"/>
    <mergeCell ref="A67:B67"/>
    <mergeCell ref="A62:B62"/>
    <mergeCell ref="A63:B63"/>
    <mergeCell ref="A64:B64"/>
    <mergeCell ref="A66:B66"/>
  </mergeCells>
  <phoneticPr fontId="3" type="noConversion"/>
  <pageMargins left="0.75" right="0.75" top="1" bottom="1" header="0.5" footer="0.5"/>
  <pageSetup paperSize="9" scale="51" orientation="landscape"/>
  <headerFooter alignWithMargins="0"/>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3"/>
  <sheetViews>
    <sheetView zoomScale="70" zoomScaleNormal="70" workbookViewId="0">
      <selection activeCell="A9" sqref="A9"/>
    </sheetView>
  </sheetViews>
  <sheetFormatPr baseColWidth="10" defaultColWidth="9" defaultRowHeight="13" x14ac:dyDescent="0.15"/>
  <cols>
    <col min="1" max="1" width="32.19921875" customWidth="1"/>
    <col min="2" max="2" width="13.3984375" bestFit="1" customWidth="1"/>
    <col min="3" max="3" width="20.796875" bestFit="1" customWidth="1"/>
    <col min="4" max="5" width="19.3984375" bestFit="1" customWidth="1"/>
    <col min="6" max="6" width="19.59765625" bestFit="1" customWidth="1"/>
    <col min="7" max="8" width="19.3984375" bestFit="1" customWidth="1"/>
    <col min="9" max="9" width="21" customWidth="1"/>
    <col min="10" max="11" width="19.59765625" bestFit="1" customWidth="1"/>
    <col min="12" max="14" width="16.3984375" bestFit="1" customWidth="1"/>
    <col min="15" max="15" width="12" bestFit="1" customWidth="1"/>
    <col min="16" max="16" width="26.59765625" style="59" bestFit="1" customWidth="1"/>
    <col min="17" max="17" width="13.59765625" customWidth="1"/>
  </cols>
  <sheetData>
    <row r="1" spans="1:18" ht="23" x14ac:dyDescent="0.25">
      <c r="A1" s="91" t="s">
        <v>9</v>
      </c>
      <c r="B1" s="68" t="s">
        <v>74</v>
      </c>
      <c r="C1" s="66"/>
      <c r="D1" s="66"/>
      <c r="E1" s="66"/>
      <c r="F1" s="66"/>
      <c r="G1" s="66" t="s">
        <v>75</v>
      </c>
      <c r="H1" s="66"/>
      <c r="I1" s="66"/>
      <c r="J1" s="66"/>
      <c r="K1" s="66"/>
      <c r="L1" s="66"/>
      <c r="M1" s="66"/>
      <c r="N1" s="66"/>
      <c r="O1" s="66"/>
      <c r="P1" s="53"/>
      <c r="Q1" s="67"/>
      <c r="R1" s="67"/>
    </row>
    <row r="2" spans="1:18" ht="23" x14ac:dyDescent="0.25">
      <c r="A2" s="68" t="s">
        <v>76</v>
      </c>
      <c r="B2" s="68" t="s">
        <v>87</v>
      </c>
      <c r="C2" s="68" t="s">
        <v>77</v>
      </c>
      <c r="D2" s="68">
        <v>1</v>
      </c>
      <c r="E2" s="68">
        <f t="shared" ref="E2:O2" si="0">D2+1</f>
        <v>2</v>
      </c>
      <c r="F2" s="68">
        <f t="shared" si="0"/>
        <v>3</v>
      </c>
      <c r="G2" s="68">
        <f t="shared" si="0"/>
        <v>4</v>
      </c>
      <c r="H2" s="68">
        <f t="shared" si="0"/>
        <v>5</v>
      </c>
      <c r="I2" s="68">
        <f t="shared" si="0"/>
        <v>6</v>
      </c>
      <c r="J2" s="68">
        <f t="shared" si="0"/>
        <v>7</v>
      </c>
      <c r="K2" s="68">
        <f t="shared" si="0"/>
        <v>8</v>
      </c>
      <c r="L2" s="68">
        <f t="shared" si="0"/>
        <v>9</v>
      </c>
      <c r="M2" s="68">
        <f t="shared" si="0"/>
        <v>10</v>
      </c>
      <c r="N2" s="68">
        <f t="shared" si="0"/>
        <v>11</v>
      </c>
      <c r="O2" s="68">
        <f t="shared" si="0"/>
        <v>12</v>
      </c>
      <c r="P2" s="67"/>
      <c r="Q2" s="67"/>
      <c r="R2" s="67"/>
    </row>
    <row r="3" spans="1:18" ht="28" x14ac:dyDescent="0.3">
      <c r="A3" s="92" t="s">
        <v>78</v>
      </c>
      <c r="B3" s="74"/>
      <c r="C3" s="68"/>
      <c r="D3" s="68">
        <f>MPS!B9+50</f>
        <v>50</v>
      </c>
      <c r="E3" s="68">
        <f>MPS!C9+25</f>
        <v>25</v>
      </c>
      <c r="F3" s="68">
        <f>MPS!D9-75</f>
        <v>25</v>
      </c>
      <c r="G3" s="68">
        <f>MPS!E9+25</f>
        <v>25</v>
      </c>
      <c r="H3" s="68">
        <f>MPS!F9+50</f>
        <v>100</v>
      </c>
      <c r="I3" s="68">
        <f>MPS!G9+75</f>
        <v>75</v>
      </c>
      <c r="J3" s="68">
        <f>MPS!H9-25</f>
        <v>75</v>
      </c>
      <c r="K3" s="68">
        <f>MPS!I9-75</f>
        <v>25</v>
      </c>
      <c r="L3" s="68">
        <f>MPS!J9-25</f>
        <v>25</v>
      </c>
      <c r="M3" s="68">
        <f>MPS!K9</f>
        <v>50</v>
      </c>
      <c r="N3" s="68">
        <f>MPS!L9-25</f>
        <v>25</v>
      </c>
      <c r="O3" s="68">
        <f>MPS!M9</f>
        <v>0</v>
      </c>
      <c r="P3" s="100">
        <f>SUM(D3:O3)</f>
        <v>500</v>
      </c>
      <c r="Q3" s="99">
        <f>MPS!C21</f>
        <v>500</v>
      </c>
      <c r="R3" s="67"/>
    </row>
    <row r="4" spans="1:18" ht="23" x14ac:dyDescent="0.25">
      <c r="A4" s="92" t="s">
        <v>79</v>
      </c>
      <c r="B4" s="74"/>
      <c r="C4" s="68"/>
      <c r="D4" s="68"/>
      <c r="E4" s="68"/>
      <c r="F4" s="68"/>
      <c r="G4" s="68"/>
      <c r="H4" s="68"/>
      <c r="I4" s="68"/>
      <c r="J4" s="68"/>
      <c r="K4" s="68"/>
      <c r="L4" s="68"/>
      <c r="M4" s="68"/>
      <c r="N4" s="68"/>
      <c r="O4" s="68"/>
      <c r="P4" s="67"/>
      <c r="Q4" s="67"/>
      <c r="R4" s="67"/>
    </row>
    <row r="5" spans="1:18" ht="23" x14ac:dyDescent="0.25">
      <c r="A5" s="92" t="s">
        <v>80</v>
      </c>
      <c r="B5" s="74"/>
      <c r="C5" s="68">
        <v>5</v>
      </c>
      <c r="D5" s="68">
        <f t="shared" ref="D5:O5" si="1">C5+D7-D3</f>
        <v>0</v>
      </c>
      <c r="E5" s="68">
        <f t="shared" si="1"/>
        <v>0</v>
      </c>
      <c r="F5" s="68">
        <f t="shared" si="1"/>
        <v>0</v>
      </c>
      <c r="G5" s="68">
        <f t="shared" si="1"/>
        <v>0</v>
      </c>
      <c r="H5" s="68">
        <f t="shared" si="1"/>
        <v>0</v>
      </c>
      <c r="I5" s="68">
        <f t="shared" si="1"/>
        <v>0</v>
      </c>
      <c r="J5" s="68">
        <f t="shared" si="1"/>
        <v>0</v>
      </c>
      <c r="K5" s="68">
        <f t="shared" si="1"/>
        <v>0</v>
      </c>
      <c r="L5" s="68">
        <f t="shared" si="1"/>
        <v>0</v>
      </c>
      <c r="M5" s="68">
        <f t="shared" si="1"/>
        <v>0</v>
      </c>
      <c r="N5" s="68">
        <f t="shared" si="1"/>
        <v>0</v>
      </c>
      <c r="O5" s="68">
        <f t="shared" si="1"/>
        <v>0</v>
      </c>
      <c r="P5" s="67"/>
      <c r="Q5" s="67"/>
      <c r="R5" s="67"/>
    </row>
    <row r="6" spans="1:18" ht="23" x14ac:dyDescent="0.25">
      <c r="A6" s="92" t="s">
        <v>81</v>
      </c>
      <c r="B6" s="74"/>
      <c r="C6" s="68"/>
      <c r="D6" s="68">
        <f t="shared" ref="D6:O6" si="2">IF(D3&gt;=C5,D3-C5,0)</f>
        <v>45</v>
      </c>
      <c r="E6" s="68">
        <f t="shared" si="2"/>
        <v>25</v>
      </c>
      <c r="F6" s="68">
        <f t="shared" si="2"/>
        <v>25</v>
      </c>
      <c r="G6" s="68">
        <f t="shared" si="2"/>
        <v>25</v>
      </c>
      <c r="H6" s="68">
        <f t="shared" si="2"/>
        <v>100</v>
      </c>
      <c r="I6" s="68">
        <f t="shared" si="2"/>
        <v>75</v>
      </c>
      <c r="J6" s="68">
        <f t="shared" si="2"/>
        <v>75</v>
      </c>
      <c r="K6" s="68">
        <f>IF(K3&gt;=J5,K3-J5,0)</f>
        <v>25</v>
      </c>
      <c r="L6" s="68">
        <f t="shared" si="2"/>
        <v>25</v>
      </c>
      <c r="M6" s="68">
        <f t="shared" si="2"/>
        <v>50</v>
      </c>
      <c r="N6" s="68">
        <f t="shared" si="2"/>
        <v>25</v>
      </c>
      <c r="O6" s="68">
        <f t="shared" si="2"/>
        <v>0</v>
      </c>
      <c r="P6" s="70"/>
      <c r="Q6" s="67"/>
      <c r="R6" s="67"/>
    </row>
    <row r="7" spans="1:18" ht="23" x14ac:dyDescent="0.25">
      <c r="A7" s="92" t="s">
        <v>82</v>
      </c>
      <c r="B7" s="74"/>
      <c r="C7" s="68"/>
      <c r="D7" s="68">
        <f t="shared" ref="D7:O7" si="3">D6</f>
        <v>45</v>
      </c>
      <c r="E7" s="68">
        <f t="shared" si="3"/>
        <v>25</v>
      </c>
      <c r="F7" s="68">
        <f t="shared" si="3"/>
        <v>25</v>
      </c>
      <c r="G7" s="68">
        <f t="shared" si="3"/>
        <v>25</v>
      </c>
      <c r="H7" s="68">
        <f t="shared" si="3"/>
        <v>100</v>
      </c>
      <c r="I7" s="68">
        <f t="shared" si="3"/>
        <v>75</v>
      </c>
      <c r="J7" s="68">
        <f t="shared" si="3"/>
        <v>75</v>
      </c>
      <c r="K7" s="68">
        <f t="shared" si="3"/>
        <v>25</v>
      </c>
      <c r="L7" s="68">
        <f t="shared" si="3"/>
        <v>25</v>
      </c>
      <c r="M7" s="68">
        <f t="shared" si="3"/>
        <v>50</v>
      </c>
      <c r="N7" s="68">
        <f t="shared" si="3"/>
        <v>25</v>
      </c>
      <c r="O7" s="68">
        <f t="shared" si="3"/>
        <v>0</v>
      </c>
      <c r="P7" s="70"/>
      <c r="Q7" s="67"/>
      <c r="R7" s="67"/>
    </row>
    <row r="8" spans="1:18" ht="23" x14ac:dyDescent="0.25">
      <c r="A8" s="92" t="s">
        <v>83</v>
      </c>
      <c r="B8" s="74"/>
      <c r="C8" s="50">
        <f>D7</f>
        <v>45</v>
      </c>
      <c r="D8" s="68">
        <f t="shared" ref="D8:O8" si="4">E7</f>
        <v>25</v>
      </c>
      <c r="E8" s="68">
        <f t="shared" si="4"/>
        <v>25</v>
      </c>
      <c r="F8" s="68">
        <f t="shared" si="4"/>
        <v>25</v>
      </c>
      <c r="G8" s="68">
        <f t="shared" si="4"/>
        <v>100</v>
      </c>
      <c r="H8" s="68">
        <f t="shared" si="4"/>
        <v>75</v>
      </c>
      <c r="I8" s="68">
        <f t="shared" si="4"/>
        <v>75</v>
      </c>
      <c r="J8" s="68">
        <f t="shared" si="4"/>
        <v>25</v>
      </c>
      <c r="K8" s="68">
        <f t="shared" si="4"/>
        <v>25</v>
      </c>
      <c r="L8" s="68">
        <f t="shared" si="4"/>
        <v>50</v>
      </c>
      <c r="M8" s="68">
        <f t="shared" si="4"/>
        <v>25</v>
      </c>
      <c r="N8" s="68">
        <f t="shared" si="4"/>
        <v>0</v>
      </c>
      <c r="O8" s="68">
        <f t="shared" si="4"/>
        <v>0</v>
      </c>
      <c r="P8" s="70"/>
      <c r="Q8" s="67"/>
      <c r="R8" s="67"/>
    </row>
    <row r="9" spans="1:18" ht="23" x14ac:dyDescent="0.25">
      <c r="A9" s="66" t="s">
        <v>33</v>
      </c>
      <c r="B9" s="66"/>
      <c r="C9" s="66"/>
      <c r="D9" s="71">
        <f>25-D8</f>
        <v>0</v>
      </c>
      <c r="E9" s="71">
        <f>25-E8</f>
        <v>0</v>
      </c>
      <c r="F9" s="71">
        <f>100-F8</f>
        <v>75</v>
      </c>
      <c r="G9" s="71">
        <f>100-G8</f>
        <v>0</v>
      </c>
      <c r="H9" s="71">
        <f>75-H8</f>
        <v>0</v>
      </c>
      <c r="I9" s="71">
        <f>75-I8</f>
        <v>0</v>
      </c>
      <c r="J9" s="71">
        <f>25-J8</f>
        <v>0</v>
      </c>
      <c r="K9" s="71">
        <f>25-K8</f>
        <v>0</v>
      </c>
      <c r="L9" s="71">
        <f>75-L8</f>
        <v>25</v>
      </c>
      <c r="M9" s="71">
        <f>25-M8</f>
        <v>0</v>
      </c>
      <c r="N9" s="71">
        <f>25-N8</f>
        <v>25</v>
      </c>
      <c r="O9" s="71">
        <f>125-O8</f>
        <v>125</v>
      </c>
      <c r="P9" s="70"/>
      <c r="Q9" s="67"/>
      <c r="R9" s="67"/>
    </row>
    <row r="10" spans="1:18" ht="23" x14ac:dyDescent="0.25">
      <c r="A10" s="77" t="s">
        <v>17</v>
      </c>
      <c r="B10" s="66"/>
      <c r="C10" s="96">
        <f>4*6*C8</f>
        <v>1080</v>
      </c>
      <c r="D10" s="71"/>
      <c r="E10" s="71"/>
      <c r="F10" s="71"/>
      <c r="G10" s="71"/>
      <c r="H10" s="71"/>
      <c r="I10" s="71"/>
      <c r="J10" s="71"/>
      <c r="K10" s="71"/>
      <c r="L10" s="71"/>
      <c r="M10" s="71"/>
      <c r="N10" s="71"/>
      <c r="O10" s="71"/>
      <c r="P10" s="70"/>
      <c r="Q10" s="67"/>
      <c r="R10" s="67"/>
    </row>
    <row r="11" spans="1:18" ht="23" x14ac:dyDescent="0.25">
      <c r="A11" s="73"/>
      <c r="B11" s="73"/>
      <c r="C11" s="73"/>
      <c r="D11" s="73"/>
      <c r="E11" s="73"/>
      <c r="F11" s="73"/>
      <c r="G11" s="73"/>
      <c r="H11" s="73"/>
      <c r="I11" s="73"/>
      <c r="J11" s="73"/>
      <c r="K11" s="73"/>
      <c r="L11" s="73"/>
      <c r="M11" s="73"/>
      <c r="N11" s="73"/>
      <c r="O11" s="73"/>
      <c r="P11" s="70"/>
      <c r="Q11" s="67"/>
      <c r="R11" s="67"/>
    </row>
    <row r="12" spans="1:18" ht="23" x14ac:dyDescent="0.25">
      <c r="A12" s="68" t="s">
        <v>11</v>
      </c>
      <c r="B12" s="68" t="s">
        <v>86</v>
      </c>
      <c r="C12" s="53"/>
      <c r="D12" s="53"/>
      <c r="E12" s="53"/>
      <c r="F12" s="53"/>
      <c r="G12" s="53" t="s">
        <v>75</v>
      </c>
      <c r="H12" s="53"/>
      <c r="I12" s="53"/>
      <c r="J12" s="53"/>
      <c r="K12" s="53"/>
      <c r="L12" s="53"/>
      <c r="M12" s="53"/>
      <c r="N12" s="53"/>
      <c r="O12" s="53"/>
      <c r="P12" s="70"/>
      <c r="Q12" s="67"/>
      <c r="R12" s="67"/>
    </row>
    <row r="13" spans="1:18" ht="23" x14ac:dyDescent="0.25">
      <c r="A13" s="68" t="s">
        <v>12</v>
      </c>
      <c r="B13" s="68" t="s">
        <v>87</v>
      </c>
      <c r="C13" s="68" t="s">
        <v>77</v>
      </c>
      <c r="D13" s="68">
        <v>1</v>
      </c>
      <c r="E13" s="68">
        <f>D13+1</f>
        <v>2</v>
      </c>
      <c r="F13" s="68">
        <f t="shared" ref="F13:O13" si="5">E13+1</f>
        <v>3</v>
      </c>
      <c r="G13" s="68">
        <f t="shared" si="5"/>
        <v>4</v>
      </c>
      <c r="H13" s="68">
        <f t="shared" si="5"/>
        <v>5</v>
      </c>
      <c r="I13" s="68">
        <f t="shared" si="5"/>
        <v>6</v>
      </c>
      <c r="J13" s="68">
        <f t="shared" si="5"/>
        <v>7</v>
      </c>
      <c r="K13" s="68">
        <f t="shared" si="5"/>
        <v>8</v>
      </c>
      <c r="L13" s="68">
        <f t="shared" si="5"/>
        <v>9</v>
      </c>
      <c r="M13" s="68">
        <f t="shared" si="5"/>
        <v>10</v>
      </c>
      <c r="N13" s="68">
        <f t="shared" si="5"/>
        <v>11</v>
      </c>
      <c r="O13" s="68">
        <f t="shared" si="5"/>
        <v>12</v>
      </c>
      <c r="P13" s="70"/>
      <c r="Q13" s="67"/>
      <c r="R13" s="67"/>
    </row>
    <row r="14" spans="1:18" ht="23" x14ac:dyDescent="0.25">
      <c r="A14" s="133" t="s">
        <v>78</v>
      </c>
      <c r="B14" s="134"/>
      <c r="C14" s="68"/>
      <c r="D14" s="68">
        <f>2*$D$8</f>
        <v>50</v>
      </c>
      <c r="E14" s="68">
        <f>$E$8*2</f>
        <v>50</v>
      </c>
      <c r="F14" s="68">
        <f>$F$8*2</f>
        <v>50</v>
      </c>
      <c r="G14" s="68">
        <f>$G$8*2</f>
        <v>200</v>
      </c>
      <c r="H14" s="68">
        <f>$H$8*2</f>
        <v>150</v>
      </c>
      <c r="I14" s="68">
        <f>$I$8*2</f>
        <v>150</v>
      </c>
      <c r="J14" s="68">
        <f>$J$8*2</f>
        <v>50</v>
      </c>
      <c r="K14" s="68">
        <f>$K$8*2</f>
        <v>50</v>
      </c>
      <c r="L14" s="68">
        <f>$L$8*2</f>
        <v>100</v>
      </c>
      <c r="M14" s="68">
        <f>$M$8*2</f>
        <v>50</v>
      </c>
      <c r="N14" s="68">
        <f>$N$8*2</f>
        <v>0</v>
      </c>
      <c r="O14" s="68">
        <f>$O$8*2</f>
        <v>0</v>
      </c>
      <c r="P14" s="70"/>
      <c r="Q14" s="67"/>
      <c r="R14" s="67"/>
    </row>
    <row r="15" spans="1:18" ht="23" x14ac:dyDescent="0.25">
      <c r="A15" s="133" t="s">
        <v>79</v>
      </c>
      <c r="B15" s="134"/>
      <c r="C15" s="68"/>
      <c r="D15" s="68"/>
      <c r="E15" s="68"/>
      <c r="F15" s="68"/>
      <c r="G15" s="68"/>
      <c r="H15" s="68"/>
      <c r="I15" s="68"/>
      <c r="J15" s="68"/>
      <c r="K15" s="68"/>
      <c r="L15" s="68"/>
      <c r="M15" s="68"/>
      <c r="N15" s="68"/>
      <c r="O15" s="68"/>
      <c r="P15" s="70"/>
      <c r="Q15" s="67"/>
      <c r="R15" s="67"/>
    </row>
    <row r="16" spans="1:18" ht="23" x14ac:dyDescent="0.25">
      <c r="A16" s="133" t="s">
        <v>80</v>
      </c>
      <c r="B16" s="134"/>
      <c r="C16" s="68">
        <v>5</v>
      </c>
      <c r="D16" s="68">
        <f t="shared" ref="D16:O16" si="6">C16+D18-D14</f>
        <v>35</v>
      </c>
      <c r="E16" s="68">
        <f t="shared" si="6"/>
        <v>25</v>
      </c>
      <c r="F16" s="68">
        <f t="shared" si="6"/>
        <v>15</v>
      </c>
      <c r="G16" s="68">
        <f t="shared" si="6"/>
        <v>15</v>
      </c>
      <c r="H16" s="68">
        <f t="shared" si="6"/>
        <v>25</v>
      </c>
      <c r="I16" s="68">
        <f t="shared" si="6"/>
        <v>35</v>
      </c>
      <c r="J16" s="68">
        <f t="shared" si="6"/>
        <v>25</v>
      </c>
      <c r="K16" s="68">
        <f t="shared" si="6"/>
        <v>15</v>
      </c>
      <c r="L16" s="68">
        <f t="shared" si="6"/>
        <v>35</v>
      </c>
      <c r="M16" s="68">
        <f t="shared" si="6"/>
        <v>25</v>
      </c>
      <c r="N16" s="68">
        <f t="shared" si="6"/>
        <v>25</v>
      </c>
      <c r="O16" s="68">
        <f t="shared" si="6"/>
        <v>25</v>
      </c>
      <c r="P16" s="67"/>
      <c r="Q16" s="67"/>
      <c r="R16" s="67"/>
    </row>
    <row r="17" spans="1:18" ht="23" x14ac:dyDescent="0.25">
      <c r="A17" s="69" t="s">
        <v>81</v>
      </c>
      <c r="B17" s="69"/>
      <c r="C17" s="68"/>
      <c r="D17" s="68">
        <f t="shared" ref="D17:O17" si="7">IF(D14&gt;=C16,D14-C16,0)</f>
        <v>45</v>
      </c>
      <c r="E17" s="68">
        <f t="shared" si="7"/>
        <v>15</v>
      </c>
      <c r="F17" s="68">
        <f t="shared" si="7"/>
        <v>25</v>
      </c>
      <c r="G17" s="68">
        <f t="shared" si="7"/>
        <v>185</v>
      </c>
      <c r="H17" s="68">
        <f t="shared" si="7"/>
        <v>135</v>
      </c>
      <c r="I17" s="68">
        <f t="shared" si="7"/>
        <v>125</v>
      </c>
      <c r="J17" s="68">
        <f t="shared" si="7"/>
        <v>15</v>
      </c>
      <c r="K17" s="68">
        <f t="shared" si="7"/>
        <v>25</v>
      </c>
      <c r="L17" s="68">
        <f t="shared" si="7"/>
        <v>85</v>
      </c>
      <c r="M17" s="68">
        <f t="shared" si="7"/>
        <v>15</v>
      </c>
      <c r="N17" s="68">
        <f t="shared" si="7"/>
        <v>0</v>
      </c>
      <c r="O17" s="68">
        <f t="shared" si="7"/>
        <v>0</v>
      </c>
      <c r="P17" s="70"/>
      <c r="Q17" s="67"/>
      <c r="R17" s="67"/>
    </row>
    <row r="18" spans="1:18" ht="23" x14ac:dyDescent="0.25">
      <c r="A18" s="133" t="s">
        <v>82</v>
      </c>
      <c r="B18" s="134"/>
      <c r="C18" s="68"/>
      <c r="D18" s="68">
        <f>CEILING(D17/40,1)*40</f>
        <v>80</v>
      </c>
      <c r="E18" s="68">
        <f t="shared" ref="E18:O18" si="8">CEILING(E17/40,1)*40</f>
        <v>40</v>
      </c>
      <c r="F18" s="68">
        <f t="shared" si="8"/>
        <v>40</v>
      </c>
      <c r="G18" s="68">
        <f t="shared" si="8"/>
        <v>200</v>
      </c>
      <c r="H18" s="68">
        <f t="shared" si="8"/>
        <v>160</v>
      </c>
      <c r="I18" s="68">
        <f t="shared" si="8"/>
        <v>160</v>
      </c>
      <c r="J18" s="68">
        <f t="shared" si="8"/>
        <v>40</v>
      </c>
      <c r="K18" s="68">
        <f t="shared" si="8"/>
        <v>40</v>
      </c>
      <c r="L18" s="68">
        <f t="shared" si="8"/>
        <v>120</v>
      </c>
      <c r="M18" s="68">
        <f t="shared" si="8"/>
        <v>40</v>
      </c>
      <c r="N18" s="68">
        <f t="shared" si="8"/>
        <v>0</v>
      </c>
      <c r="O18" s="68">
        <f t="shared" si="8"/>
        <v>0</v>
      </c>
      <c r="P18" s="70"/>
      <c r="Q18" s="67"/>
      <c r="R18" s="67"/>
    </row>
    <row r="19" spans="1:18" ht="23" x14ac:dyDescent="0.25">
      <c r="A19" s="133" t="s">
        <v>83</v>
      </c>
      <c r="B19" s="134"/>
      <c r="C19" s="50">
        <f>D18</f>
        <v>80</v>
      </c>
      <c r="D19" s="68">
        <f>E18</f>
        <v>40</v>
      </c>
      <c r="E19" s="68">
        <f t="shared" ref="E19:O19" si="9">F18</f>
        <v>40</v>
      </c>
      <c r="F19" s="68">
        <f t="shared" si="9"/>
        <v>200</v>
      </c>
      <c r="G19" s="68">
        <f t="shared" si="9"/>
        <v>160</v>
      </c>
      <c r="H19" s="68">
        <f t="shared" si="9"/>
        <v>160</v>
      </c>
      <c r="I19" s="68">
        <f t="shared" si="9"/>
        <v>40</v>
      </c>
      <c r="J19" s="68">
        <f t="shared" si="9"/>
        <v>40</v>
      </c>
      <c r="K19" s="68">
        <f t="shared" si="9"/>
        <v>120</v>
      </c>
      <c r="L19" s="68">
        <f t="shared" si="9"/>
        <v>40</v>
      </c>
      <c r="M19" s="68">
        <f t="shared" si="9"/>
        <v>0</v>
      </c>
      <c r="N19" s="68">
        <f t="shared" si="9"/>
        <v>0</v>
      </c>
      <c r="O19" s="68">
        <f t="shared" si="9"/>
        <v>0</v>
      </c>
      <c r="P19" s="70"/>
      <c r="Q19" s="67"/>
      <c r="R19" s="67"/>
    </row>
    <row r="20" spans="1:18" ht="23" x14ac:dyDescent="0.25">
      <c r="A20" s="77" t="s">
        <v>16</v>
      </c>
      <c r="B20" s="66"/>
      <c r="C20" s="66"/>
      <c r="D20" s="72">
        <f>D19*0.5</f>
        <v>20</v>
      </c>
      <c r="E20" s="72">
        <f t="shared" ref="E20:O20" si="10">E19*0.5</f>
        <v>20</v>
      </c>
      <c r="F20" s="72">
        <f t="shared" si="10"/>
        <v>100</v>
      </c>
      <c r="G20" s="72">
        <f t="shared" si="10"/>
        <v>80</v>
      </c>
      <c r="H20" s="72">
        <f t="shared" si="10"/>
        <v>80</v>
      </c>
      <c r="I20" s="72">
        <f t="shared" si="10"/>
        <v>20</v>
      </c>
      <c r="J20" s="72">
        <f t="shared" si="10"/>
        <v>20</v>
      </c>
      <c r="K20" s="72">
        <f t="shared" si="10"/>
        <v>60</v>
      </c>
      <c r="L20" s="72">
        <f t="shared" si="10"/>
        <v>20</v>
      </c>
      <c r="M20" s="72">
        <f t="shared" si="10"/>
        <v>0</v>
      </c>
      <c r="N20" s="72">
        <f t="shared" si="10"/>
        <v>0</v>
      </c>
      <c r="O20" s="72">
        <f t="shared" si="10"/>
        <v>0</v>
      </c>
      <c r="P20" s="70"/>
      <c r="Q20" s="67"/>
      <c r="R20" s="67"/>
    </row>
    <row r="21" spans="1:18" ht="23" x14ac:dyDescent="0.25">
      <c r="A21" s="76" t="s">
        <v>32</v>
      </c>
      <c r="B21" s="66"/>
      <c r="C21" s="95">
        <f>2*C19*0.5</f>
        <v>80</v>
      </c>
      <c r="D21" s="66"/>
      <c r="E21" s="66"/>
      <c r="F21" s="66"/>
      <c r="G21" s="66"/>
      <c r="H21" s="66"/>
      <c r="I21" s="66"/>
      <c r="J21" s="66"/>
      <c r="K21" s="66"/>
      <c r="L21" s="66"/>
      <c r="M21" s="66"/>
      <c r="N21" s="66"/>
      <c r="O21" s="66"/>
      <c r="P21" s="70"/>
      <c r="Q21" s="67"/>
      <c r="R21" s="67"/>
    </row>
    <row r="22" spans="1:18" ht="23" x14ac:dyDescent="0.25">
      <c r="A22" s="66"/>
      <c r="B22" s="66"/>
      <c r="C22" s="66"/>
      <c r="D22" s="66"/>
      <c r="E22" s="66"/>
      <c r="F22" s="66"/>
      <c r="G22" s="66"/>
      <c r="H22" s="66"/>
      <c r="I22" s="66"/>
      <c r="J22" s="66"/>
      <c r="K22" s="66"/>
      <c r="L22" s="66"/>
      <c r="M22" s="66"/>
      <c r="N22" s="66"/>
      <c r="O22" s="66"/>
      <c r="P22" s="70"/>
      <c r="Q22" s="67"/>
      <c r="R22" s="67"/>
    </row>
    <row r="23" spans="1:18" ht="23" x14ac:dyDescent="0.25">
      <c r="A23" s="73"/>
      <c r="B23" s="73"/>
      <c r="C23" s="73"/>
      <c r="D23" s="73"/>
      <c r="E23" s="73"/>
      <c r="F23" s="73"/>
      <c r="G23" s="73"/>
      <c r="H23" s="73"/>
      <c r="I23" s="73"/>
      <c r="J23" s="73"/>
      <c r="K23" s="73"/>
      <c r="L23" s="73"/>
      <c r="M23" s="73"/>
      <c r="N23" s="73"/>
      <c r="O23" s="73"/>
      <c r="P23" s="70"/>
      <c r="Q23" s="67"/>
      <c r="R23" s="67"/>
    </row>
    <row r="24" spans="1:18" ht="23" x14ac:dyDescent="0.25">
      <c r="A24" s="68" t="s">
        <v>13</v>
      </c>
      <c r="B24" s="68" t="s">
        <v>86</v>
      </c>
      <c r="C24" s="53"/>
      <c r="D24" s="53"/>
      <c r="E24" s="53"/>
      <c r="F24" s="53"/>
      <c r="G24" s="53" t="s">
        <v>75</v>
      </c>
      <c r="H24" s="53"/>
      <c r="I24" s="53"/>
      <c r="J24" s="53"/>
      <c r="K24" s="53"/>
      <c r="L24" s="53"/>
      <c r="M24" s="53"/>
      <c r="N24" s="53"/>
      <c r="O24" s="53"/>
      <c r="P24" s="70"/>
      <c r="Q24" s="67"/>
      <c r="R24" s="67"/>
    </row>
    <row r="25" spans="1:18" ht="23" x14ac:dyDescent="0.25">
      <c r="A25" s="68" t="s">
        <v>14</v>
      </c>
      <c r="B25" s="68" t="s">
        <v>85</v>
      </c>
      <c r="C25" s="68" t="s">
        <v>77</v>
      </c>
      <c r="D25" s="68">
        <v>1</v>
      </c>
      <c r="E25" s="68">
        <f>D25+1</f>
        <v>2</v>
      </c>
      <c r="F25" s="68">
        <f t="shared" ref="F25:O25" si="11">E25+1</f>
        <v>3</v>
      </c>
      <c r="G25" s="68">
        <f t="shared" si="11"/>
        <v>4</v>
      </c>
      <c r="H25" s="68">
        <f t="shared" si="11"/>
        <v>5</v>
      </c>
      <c r="I25" s="68">
        <f t="shared" si="11"/>
        <v>6</v>
      </c>
      <c r="J25" s="68">
        <f t="shared" si="11"/>
        <v>7</v>
      </c>
      <c r="K25" s="68">
        <f t="shared" si="11"/>
        <v>8</v>
      </c>
      <c r="L25" s="68">
        <f t="shared" si="11"/>
        <v>9</v>
      </c>
      <c r="M25" s="68">
        <f t="shared" si="11"/>
        <v>10</v>
      </c>
      <c r="N25" s="68">
        <f t="shared" si="11"/>
        <v>11</v>
      </c>
      <c r="O25" s="68">
        <f t="shared" si="11"/>
        <v>12</v>
      </c>
      <c r="P25" s="70"/>
      <c r="Q25" s="67"/>
      <c r="R25" s="67"/>
    </row>
    <row r="26" spans="1:18" ht="23" x14ac:dyDescent="0.25">
      <c r="A26" s="133" t="s">
        <v>78</v>
      </c>
      <c r="B26" s="134"/>
      <c r="C26" s="68"/>
      <c r="D26" s="68">
        <f>2*$D$8</f>
        <v>50</v>
      </c>
      <c r="E26" s="68">
        <f>$E$8*2</f>
        <v>50</v>
      </c>
      <c r="F26" s="68">
        <f>$F$8*2</f>
        <v>50</v>
      </c>
      <c r="G26" s="68">
        <f>$G$8*2</f>
        <v>200</v>
      </c>
      <c r="H26" s="68">
        <f>$H$8*2</f>
        <v>150</v>
      </c>
      <c r="I26" s="68">
        <f>$I$8*2</f>
        <v>150</v>
      </c>
      <c r="J26" s="68">
        <f>$J$8*2</f>
        <v>50</v>
      </c>
      <c r="K26" s="68">
        <f>$K$8*2</f>
        <v>50</v>
      </c>
      <c r="L26" s="68">
        <f>$L$8*2</f>
        <v>100</v>
      </c>
      <c r="M26" s="68">
        <f>$M$8*2</f>
        <v>50</v>
      </c>
      <c r="N26" s="68">
        <f>$N$8*2</f>
        <v>0</v>
      </c>
      <c r="O26" s="68">
        <f>$O$8*2</f>
        <v>0</v>
      </c>
      <c r="P26" s="70"/>
      <c r="Q26" s="67"/>
      <c r="R26" s="67"/>
    </row>
    <row r="27" spans="1:18" ht="23" x14ac:dyDescent="0.25">
      <c r="A27" s="133" t="s">
        <v>79</v>
      </c>
      <c r="B27" s="134"/>
      <c r="C27" s="68"/>
      <c r="D27" s="68"/>
      <c r="E27" s="68"/>
      <c r="F27" s="68"/>
      <c r="G27" s="68"/>
      <c r="H27" s="68"/>
      <c r="I27" s="68"/>
      <c r="J27" s="68"/>
      <c r="K27" s="68"/>
      <c r="L27" s="68"/>
      <c r="M27" s="68"/>
      <c r="N27" s="68"/>
      <c r="O27" s="68"/>
      <c r="P27" s="70"/>
      <c r="Q27" s="67"/>
      <c r="R27" s="67"/>
    </row>
    <row r="28" spans="1:18" ht="23" x14ac:dyDescent="0.25">
      <c r="A28" s="133" t="s">
        <v>80</v>
      </c>
      <c r="B28" s="134"/>
      <c r="C28" s="68">
        <v>150</v>
      </c>
      <c r="D28" s="68">
        <f t="shared" ref="D28:O28" si="12">C28+D30-D26</f>
        <v>100</v>
      </c>
      <c r="E28" s="68">
        <f t="shared" si="12"/>
        <v>50</v>
      </c>
      <c r="F28" s="68">
        <f t="shared" si="12"/>
        <v>0</v>
      </c>
      <c r="G28" s="68">
        <f t="shared" si="12"/>
        <v>0</v>
      </c>
      <c r="H28" s="68">
        <f t="shared" si="12"/>
        <v>10</v>
      </c>
      <c r="I28" s="68">
        <f t="shared" si="12"/>
        <v>0</v>
      </c>
      <c r="J28" s="68">
        <f t="shared" si="12"/>
        <v>10</v>
      </c>
      <c r="K28" s="68">
        <f t="shared" si="12"/>
        <v>0</v>
      </c>
      <c r="L28" s="68">
        <f t="shared" si="12"/>
        <v>0</v>
      </c>
      <c r="M28" s="68">
        <f t="shared" si="12"/>
        <v>10</v>
      </c>
      <c r="N28" s="68">
        <f t="shared" si="12"/>
        <v>10</v>
      </c>
      <c r="O28" s="68">
        <f t="shared" si="12"/>
        <v>10</v>
      </c>
      <c r="P28" s="75"/>
      <c r="Q28" s="67"/>
      <c r="R28" s="67"/>
    </row>
    <row r="29" spans="1:18" ht="23" x14ac:dyDescent="0.25">
      <c r="A29" s="69" t="s">
        <v>81</v>
      </c>
      <c r="B29" s="69"/>
      <c r="C29" s="68"/>
      <c r="D29" s="68">
        <f t="shared" ref="D29:O29" si="13">IF(D26&gt;=C28,D26-C28,0)</f>
        <v>0</v>
      </c>
      <c r="E29" s="68">
        <f t="shared" si="13"/>
        <v>0</v>
      </c>
      <c r="F29" s="68">
        <f t="shared" si="13"/>
        <v>0</v>
      </c>
      <c r="G29" s="68">
        <f t="shared" si="13"/>
        <v>200</v>
      </c>
      <c r="H29" s="68">
        <f t="shared" si="13"/>
        <v>150</v>
      </c>
      <c r="I29" s="68">
        <f t="shared" si="13"/>
        <v>140</v>
      </c>
      <c r="J29" s="68">
        <f t="shared" si="13"/>
        <v>50</v>
      </c>
      <c r="K29" s="68">
        <f t="shared" si="13"/>
        <v>40</v>
      </c>
      <c r="L29" s="68">
        <f t="shared" si="13"/>
        <v>100</v>
      </c>
      <c r="M29" s="68">
        <f t="shared" si="13"/>
        <v>50</v>
      </c>
      <c r="N29" s="68">
        <f t="shared" si="13"/>
        <v>0</v>
      </c>
      <c r="O29" s="68">
        <f t="shared" si="13"/>
        <v>0</v>
      </c>
      <c r="P29" s="70"/>
      <c r="Q29" s="67"/>
      <c r="R29" s="67"/>
    </row>
    <row r="30" spans="1:18" ht="23" x14ac:dyDescent="0.25">
      <c r="A30" s="133" t="s">
        <v>82</v>
      </c>
      <c r="B30" s="134"/>
      <c r="C30" s="68"/>
      <c r="D30" s="68">
        <f>CEILING(D29/20,1)*20</f>
        <v>0</v>
      </c>
      <c r="E30" s="68">
        <f t="shared" ref="E30:O30" si="14">CEILING(E29/20,1)*20</f>
        <v>0</v>
      </c>
      <c r="F30" s="68">
        <f t="shared" si="14"/>
        <v>0</v>
      </c>
      <c r="G30" s="68">
        <f t="shared" si="14"/>
        <v>200</v>
      </c>
      <c r="H30" s="68">
        <f t="shared" si="14"/>
        <v>160</v>
      </c>
      <c r="I30" s="68">
        <f t="shared" si="14"/>
        <v>140</v>
      </c>
      <c r="J30" s="68">
        <f t="shared" si="14"/>
        <v>60</v>
      </c>
      <c r="K30" s="68">
        <f t="shared" si="14"/>
        <v>40</v>
      </c>
      <c r="L30" s="68">
        <f t="shared" si="14"/>
        <v>100</v>
      </c>
      <c r="M30" s="68">
        <f t="shared" si="14"/>
        <v>60</v>
      </c>
      <c r="N30" s="68">
        <f t="shared" si="14"/>
        <v>0</v>
      </c>
      <c r="O30" s="68">
        <f t="shared" si="14"/>
        <v>0</v>
      </c>
      <c r="P30" s="70"/>
      <c r="Q30" s="67"/>
      <c r="R30" s="67"/>
    </row>
    <row r="31" spans="1:18" ht="23" x14ac:dyDescent="0.25">
      <c r="A31" s="133" t="s">
        <v>83</v>
      </c>
      <c r="B31" s="134"/>
      <c r="C31" s="50">
        <f>E30+D30</f>
        <v>0</v>
      </c>
      <c r="D31" s="68">
        <f>F30</f>
        <v>0</v>
      </c>
      <c r="E31" s="68">
        <f t="shared" ref="E31:M31" si="15">G30</f>
        <v>200</v>
      </c>
      <c r="F31" s="68">
        <f t="shared" si="15"/>
        <v>160</v>
      </c>
      <c r="G31" s="68">
        <f t="shared" si="15"/>
        <v>140</v>
      </c>
      <c r="H31" s="68">
        <f t="shared" si="15"/>
        <v>60</v>
      </c>
      <c r="I31" s="68">
        <f t="shared" si="15"/>
        <v>40</v>
      </c>
      <c r="J31" s="68">
        <f t="shared" si="15"/>
        <v>100</v>
      </c>
      <c r="K31" s="68">
        <f t="shared" si="15"/>
        <v>60</v>
      </c>
      <c r="L31" s="68">
        <f t="shared" si="15"/>
        <v>0</v>
      </c>
      <c r="M31" s="68">
        <f t="shared" si="15"/>
        <v>0</v>
      </c>
      <c r="N31" s="68">
        <f>P30</f>
        <v>0</v>
      </c>
      <c r="O31" s="68">
        <f>Q30</f>
        <v>0</v>
      </c>
      <c r="P31" s="70"/>
      <c r="Q31" s="67"/>
      <c r="R31" s="67"/>
    </row>
    <row r="32" spans="1:18" ht="23" x14ac:dyDescent="0.25">
      <c r="A32" s="77" t="s">
        <v>16</v>
      </c>
      <c r="B32" s="66"/>
      <c r="C32" s="66"/>
      <c r="D32" s="72">
        <f>D31*0.5</f>
        <v>0</v>
      </c>
      <c r="E32" s="72">
        <f t="shared" ref="E32:O32" si="16">E31*0.5</f>
        <v>100</v>
      </c>
      <c r="F32" s="72">
        <f t="shared" si="16"/>
        <v>80</v>
      </c>
      <c r="G32" s="72">
        <f t="shared" si="16"/>
        <v>70</v>
      </c>
      <c r="H32" s="72">
        <f t="shared" si="16"/>
        <v>30</v>
      </c>
      <c r="I32" s="72">
        <f t="shared" si="16"/>
        <v>20</v>
      </c>
      <c r="J32" s="72">
        <f t="shared" si="16"/>
        <v>50</v>
      </c>
      <c r="K32" s="72">
        <f t="shared" si="16"/>
        <v>30</v>
      </c>
      <c r="L32" s="72">
        <f t="shared" si="16"/>
        <v>0</v>
      </c>
      <c r="M32" s="72">
        <f t="shared" si="16"/>
        <v>0</v>
      </c>
      <c r="N32" s="72">
        <f t="shared" si="16"/>
        <v>0</v>
      </c>
      <c r="O32" s="72">
        <f t="shared" si="16"/>
        <v>0</v>
      </c>
      <c r="P32" s="70"/>
      <c r="Q32" s="67"/>
      <c r="R32" s="67"/>
    </row>
    <row r="33" spans="1:18" ht="23" x14ac:dyDescent="0.25">
      <c r="A33" s="66"/>
      <c r="B33" s="66"/>
      <c r="C33" s="66"/>
      <c r="D33" s="66"/>
      <c r="E33" s="66"/>
      <c r="F33" s="66"/>
      <c r="G33" s="66"/>
      <c r="H33" s="66"/>
      <c r="I33" s="66"/>
      <c r="J33" s="66"/>
      <c r="K33" s="66"/>
      <c r="L33" s="66"/>
      <c r="M33" s="66"/>
      <c r="N33" s="66"/>
      <c r="O33" s="66"/>
      <c r="P33" s="70"/>
      <c r="Q33" s="67"/>
      <c r="R33" s="67"/>
    </row>
    <row r="34" spans="1:18" ht="23" x14ac:dyDescent="0.25">
      <c r="A34" s="66"/>
      <c r="B34" s="66"/>
      <c r="C34" s="66"/>
      <c r="D34" s="66"/>
      <c r="E34" s="66"/>
      <c r="F34" s="66"/>
      <c r="G34" s="66"/>
      <c r="H34" s="66"/>
      <c r="I34" s="66"/>
      <c r="J34" s="66"/>
      <c r="K34" s="66"/>
      <c r="L34" s="66"/>
      <c r="M34" s="66"/>
      <c r="N34" s="66"/>
      <c r="O34" s="66"/>
      <c r="P34" s="70"/>
      <c r="Q34" s="67"/>
      <c r="R34" s="67"/>
    </row>
    <row r="35" spans="1:18" ht="23" x14ac:dyDescent="0.25">
      <c r="A35" s="73"/>
      <c r="B35" s="73"/>
      <c r="C35" s="73"/>
      <c r="D35" s="73"/>
      <c r="E35" s="73"/>
      <c r="F35" s="73"/>
      <c r="G35" s="73"/>
      <c r="H35" s="73"/>
      <c r="I35" s="73"/>
      <c r="J35" s="73"/>
      <c r="K35" s="73"/>
      <c r="L35" s="73"/>
      <c r="M35" s="73"/>
      <c r="N35" s="73"/>
      <c r="O35" s="73"/>
      <c r="P35" s="70"/>
      <c r="Q35" s="67"/>
      <c r="R35" s="67"/>
    </row>
    <row r="36" spans="1:18" ht="23" x14ac:dyDescent="0.25">
      <c r="A36" s="68" t="s">
        <v>15</v>
      </c>
      <c r="B36" s="68" t="s">
        <v>86</v>
      </c>
      <c r="C36" s="53"/>
      <c r="D36" s="53"/>
      <c r="E36" s="53"/>
      <c r="F36" s="53"/>
      <c r="G36" s="53" t="s">
        <v>75</v>
      </c>
      <c r="H36" s="53"/>
      <c r="I36" s="53"/>
      <c r="J36" s="53"/>
      <c r="K36" s="53"/>
      <c r="L36" s="53"/>
      <c r="M36" s="53"/>
      <c r="N36" s="53"/>
      <c r="O36" s="53"/>
      <c r="P36" s="70"/>
      <c r="Q36" s="67"/>
      <c r="R36" s="67"/>
    </row>
    <row r="37" spans="1:18" ht="23" x14ac:dyDescent="0.25">
      <c r="A37" s="68" t="s">
        <v>76</v>
      </c>
      <c r="B37" s="68" t="s">
        <v>87</v>
      </c>
      <c r="C37" s="68" t="s">
        <v>77</v>
      </c>
      <c r="D37" s="68">
        <v>1</v>
      </c>
      <c r="E37" s="68">
        <f>D37+1</f>
        <v>2</v>
      </c>
      <c r="F37" s="68">
        <f t="shared" ref="F37:O37" si="17">E37+1</f>
        <v>3</v>
      </c>
      <c r="G37" s="68">
        <f t="shared" si="17"/>
        <v>4</v>
      </c>
      <c r="H37" s="68">
        <f t="shared" si="17"/>
        <v>5</v>
      </c>
      <c r="I37" s="68">
        <f t="shared" si="17"/>
        <v>6</v>
      </c>
      <c r="J37" s="68">
        <f t="shared" si="17"/>
        <v>7</v>
      </c>
      <c r="K37" s="68">
        <f t="shared" si="17"/>
        <v>8</v>
      </c>
      <c r="L37" s="68">
        <f t="shared" si="17"/>
        <v>9</v>
      </c>
      <c r="M37" s="68">
        <f t="shared" si="17"/>
        <v>10</v>
      </c>
      <c r="N37" s="68">
        <f t="shared" si="17"/>
        <v>11</v>
      </c>
      <c r="O37" s="68">
        <f t="shared" si="17"/>
        <v>12</v>
      </c>
      <c r="P37" s="70"/>
      <c r="Q37" s="67"/>
      <c r="R37" s="67"/>
    </row>
    <row r="38" spans="1:18" ht="23" x14ac:dyDescent="0.25">
      <c r="A38" s="133" t="s">
        <v>78</v>
      </c>
      <c r="B38" s="134"/>
      <c r="C38" s="68"/>
      <c r="D38" s="68">
        <f>2*$D$8</f>
        <v>50</v>
      </c>
      <c r="E38" s="68">
        <f>$E$8*2</f>
        <v>50</v>
      </c>
      <c r="F38" s="68">
        <f>$F$8*2</f>
        <v>50</v>
      </c>
      <c r="G38" s="68">
        <f>$G$8*2</f>
        <v>200</v>
      </c>
      <c r="H38" s="68">
        <f>$H$8*2</f>
        <v>150</v>
      </c>
      <c r="I38" s="68">
        <f>$I$8*2</f>
        <v>150</v>
      </c>
      <c r="J38" s="68">
        <f>$J$8*2</f>
        <v>50</v>
      </c>
      <c r="K38" s="68">
        <f>$K$8*2</f>
        <v>50</v>
      </c>
      <c r="L38" s="68">
        <f>$L$8*2</f>
        <v>100</v>
      </c>
      <c r="M38" s="68">
        <f>$M$8*2</f>
        <v>50</v>
      </c>
      <c r="N38" s="68">
        <f>$N$8*2</f>
        <v>0</v>
      </c>
      <c r="O38" s="68">
        <f>$O$8*2</f>
        <v>0</v>
      </c>
      <c r="P38" s="70"/>
      <c r="Q38" s="67"/>
      <c r="R38" s="67"/>
    </row>
    <row r="39" spans="1:18" ht="23" x14ac:dyDescent="0.25">
      <c r="A39" s="133" t="s">
        <v>79</v>
      </c>
      <c r="B39" s="134"/>
      <c r="C39" s="68"/>
      <c r="D39" s="68"/>
      <c r="E39" s="68"/>
      <c r="F39" s="68"/>
      <c r="G39" s="68"/>
      <c r="H39" s="68"/>
      <c r="I39" s="68"/>
      <c r="J39" s="68"/>
      <c r="K39" s="68"/>
      <c r="L39" s="68"/>
      <c r="M39" s="68"/>
      <c r="N39" s="68"/>
      <c r="O39" s="68"/>
      <c r="P39" s="70"/>
      <c r="Q39" s="67"/>
      <c r="R39" s="67"/>
    </row>
    <row r="40" spans="1:18" ht="23" x14ac:dyDescent="0.25">
      <c r="A40" s="133" t="s">
        <v>80</v>
      </c>
      <c r="B40" s="134"/>
      <c r="C40" s="68">
        <v>35</v>
      </c>
      <c r="D40" s="68">
        <f t="shared" ref="D40:O40" si="18">C40+D42-D38</f>
        <v>0</v>
      </c>
      <c r="E40" s="68">
        <f t="shared" si="18"/>
        <v>0</v>
      </c>
      <c r="F40" s="68">
        <f t="shared" si="18"/>
        <v>0</v>
      </c>
      <c r="G40" s="68">
        <f t="shared" si="18"/>
        <v>0</v>
      </c>
      <c r="H40" s="68">
        <f t="shared" si="18"/>
        <v>0</v>
      </c>
      <c r="I40" s="68">
        <f t="shared" si="18"/>
        <v>0</v>
      </c>
      <c r="J40" s="68">
        <f t="shared" si="18"/>
        <v>0</v>
      </c>
      <c r="K40" s="68">
        <f t="shared" si="18"/>
        <v>0</v>
      </c>
      <c r="L40" s="68">
        <f t="shared" si="18"/>
        <v>0</v>
      </c>
      <c r="M40" s="68">
        <f t="shared" si="18"/>
        <v>0</v>
      </c>
      <c r="N40" s="68">
        <f t="shared" si="18"/>
        <v>0</v>
      </c>
      <c r="O40" s="68">
        <f t="shared" si="18"/>
        <v>0</v>
      </c>
      <c r="P40" s="67"/>
      <c r="Q40" s="67"/>
      <c r="R40" s="67"/>
    </row>
    <row r="41" spans="1:18" ht="23" x14ac:dyDescent="0.25">
      <c r="A41" s="69" t="s">
        <v>81</v>
      </c>
      <c r="B41" s="69"/>
      <c r="C41" s="68"/>
      <c r="D41" s="68">
        <f t="shared" ref="D41:O41" si="19">IF(D38&gt;=C40,D38-C40,0)</f>
        <v>15</v>
      </c>
      <c r="E41" s="68">
        <f t="shared" si="19"/>
        <v>50</v>
      </c>
      <c r="F41" s="68">
        <f t="shared" si="19"/>
        <v>50</v>
      </c>
      <c r="G41" s="68">
        <f t="shared" si="19"/>
        <v>200</v>
      </c>
      <c r="H41" s="68">
        <f t="shared" si="19"/>
        <v>150</v>
      </c>
      <c r="I41" s="68">
        <f t="shared" si="19"/>
        <v>150</v>
      </c>
      <c r="J41" s="68">
        <f t="shared" si="19"/>
        <v>50</v>
      </c>
      <c r="K41" s="68">
        <f t="shared" si="19"/>
        <v>50</v>
      </c>
      <c r="L41" s="68">
        <f t="shared" si="19"/>
        <v>100</v>
      </c>
      <c r="M41" s="68">
        <f t="shared" si="19"/>
        <v>50</v>
      </c>
      <c r="N41" s="68">
        <f t="shared" si="19"/>
        <v>0</v>
      </c>
      <c r="O41" s="68">
        <f t="shared" si="19"/>
        <v>0</v>
      </c>
      <c r="P41" s="70"/>
      <c r="Q41" s="67"/>
      <c r="R41" s="67"/>
    </row>
    <row r="42" spans="1:18" ht="23" x14ac:dyDescent="0.25">
      <c r="A42" s="133" t="s">
        <v>82</v>
      </c>
      <c r="B42" s="134"/>
      <c r="C42" s="68"/>
      <c r="D42" s="68">
        <f>D41</f>
        <v>15</v>
      </c>
      <c r="E42" s="68">
        <f t="shared" ref="E42:O42" si="20">E41</f>
        <v>50</v>
      </c>
      <c r="F42" s="68">
        <f t="shared" si="20"/>
        <v>50</v>
      </c>
      <c r="G42" s="68">
        <f t="shared" si="20"/>
        <v>200</v>
      </c>
      <c r="H42" s="68">
        <f t="shared" si="20"/>
        <v>150</v>
      </c>
      <c r="I42" s="68">
        <f t="shared" si="20"/>
        <v>150</v>
      </c>
      <c r="J42" s="68">
        <f t="shared" si="20"/>
        <v>50</v>
      </c>
      <c r="K42" s="68">
        <f t="shared" si="20"/>
        <v>50</v>
      </c>
      <c r="L42" s="68">
        <f t="shared" si="20"/>
        <v>100</v>
      </c>
      <c r="M42" s="68">
        <f t="shared" si="20"/>
        <v>50</v>
      </c>
      <c r="N42" s="68">
        <f t="shared" si="20"/>
        <v>0</v>
      </c>
      <c r="O42" s="68">
        <f t="shared" si="20"/>
        <v>0</v>
      </c>
      <c r="P42" s="70"/>
      <c r="Q42" s="67"/>
      <c r="R42" s="67"/>
    </row>
    <row r="43" spans="1:18" ht="23" x14ac:dyDescent="0.25">
      <c r="A43" s="133" t="s">
        <v>83</v>
      </c>
      <c r="B43" s="134"/>
      <c r="C43" s="50">
        <f>D42</f>
        <v>15</v>
      </c>
      <c r="D43" s="68">
        <f>E42</f>
        <v>50</v>
      </c>
      <c r="E43" s="68">
        <f t="shared" ref="E43:O43" si="21">F42</f>
        <v>50</v>
      </c>
      <c r="F43" s="68">
        <f t="shared" si="21"/>
        <v>200</v>
      </c>
      <c r="G43" s="68">
        <f t="shared" si="21"/>
        <v>150</v>
      </c>
      <c r="H43" s="68">
        <f t="shared" si="21"/>
        <v>150</v>
      </c>
      <c r="I43" s="68">
        <f t="shared" si="21"/>
        <v>50</v>
      </c>
      <c r="J43" s="68">
        <f t="shared" si="21"/>
        <v>50</v>
      </c>
      <c r="K43" s="68">
        <f t="shared" si="21"/>
        <v>100</v>
      </c>
      <c r="L43" s="68">
        <f t="shared" si="21"/>
        <v>50</v>
      </c>
      <c r="M43" s="68">
        <f t="shared" si="21"/>
        <v>0</v>
      </c>
      <c r="N43" s="68">
        <f t="shared" si="21"/>
        <v>0</v>
      </c>
      <c r="O43" s="68">
        <f t="shared" si="21"/>
        <v>0</v>
      </c>
      <c r="P43" s="70"/>
      <c r="Q43" s="67"/>
      <c r="R43" s="67"/>
    </row>
    <row r="44" spans="1:18" ht="23" x14ac:dyDescent="0.25">
      <c r="A44" s="77" t="s">
        <v>16</v>
      </c>
      <c r="B44" s="66"/>
      <c r="C44" s="66"/>
      <c r="D44" s="72">
        <f>D43*0.5</f>
        <v>25</v>
      </c>
      <c r="E44" s="72">
        <f t="shared" ref="E44:O44" si="22">E43*0.5</f>
        <v>25</v>
      </c>
      <c r="F44" s="72">
        <f t="shared" si="22"/>
        <v>100</v>
      </c>
      <c r="G44" s="72">
        <f t="shared" si="22"/>
        <v>75</v>
      </c>
      <c r="H44" s="72">
        <f t="shared" si="22"/>
        <v>75</v>
      </c>
      <c r="I44" s="72">
        <f t="shared" si="22"/>
        <v>25</v>
      </c>
      <c r="J44" s="72">
        <f t="shared" si="22"/>
        <v>25</v>
      </c>
      <c r="K44" s="72">
        <f t="shared" si="22"/>
        <v>50</v>
      </c>
      <c r="L44" s="72">
        <f t="shared" si="22"/>
        <v>25</v>
      </c>
      <c r="M44" s="72">
        <f t="shared" si="22"/>
        <v>0</v>
      </c>
      <c r="N44" s="72">
        <f t="shared" si="22"/>
        <v>0</v>
      </c>
      <c r="O44" s="72">
        <f t="shared" si="22"/>
        <v>0</v>
      </c>
      <c r="P44" s="70"/>
      <c r="Q44" s="67"/>
      <c r="R44" s="67"/>
    </row>
    <row r="45" spans="1:18" ht="23" x14ac:dyDescent="0.25">
      <c r="A45" s="76" t="s">
        <v>32</v>
      </c>
      <c r="B45" s="66"/>
      <c r="C45" s="95">
        <f>2*C43*0.5</f>
        <v>15</v>
      </c>
      <c r="D45" s="66"/>
      <c r="E45" s="66"/>
      <c r="F45" s="66"/>
      <c r="G45" s="66"/>
      <c r="H45" s="66"/>
      <c r="I45" s="66"/>
      <c r="J45" s="66"/>
      <c r="K45" s="66"/>
      <c r="L45" s="66"/>
      <c r="M45" s="66"/>
      <c r="N45" s="66"/>
      <c r="O45" s="66"/>
      <c r="P45" s="70"/>
      <c r="Q45" s="67"/>
      <c r="R45" s="67"/>
    </row>
    <row r="46" spans="1:18" ht="23" x14ac:dyDescent="0.25">
      <c r="A46" s="73"/>
      <c r="B46" s="73"/>
      <c r="C46" s="73"/>
      <c r="D46" s="73"/>
      <c r="E46" s="73"/>
      <c r="F46" s="73"/>
      <c r="G46" s="73"/>
      <c r="H46" s="73"/>
      <c r="I46" s="73"/>
      <c r="J46" s="73"/>
      <c r="K46" s="73"/>
      <c r="L46" s="73"/>
      <c r="M46" s="73"/>
      <c r="N46" s="73"/>
      <c r="O46" s="73"/>
      <c r="P46" s="70"/>
      <c r="Q46" s="67"/>
      <c r="R46" s="67"/>
    </row>
    <row r="47" spans="1:18" ht="23" x14ac:dyDescent="0.25">
      <c r="A47" s="73"/>
      <c r="B47" s="73"/>
      <c r="C47" s="73"/>
      <c r="D47" s="73"/>
      <c r="E47" s="73"/>
      <c r="F47" s="73"/>
      <c r="G47" s="73"/>
      <c r="H47" s="73"/>
      <c r="I47" s="73"/>
      <c r="J47" s="73"/>
      <c r="K47" s="73"/>
      <c r="L47" s="73"/>
      <c r="M47" s="73"/>
      <c r="N47" s="73"/>
      <c r="O47" s="73"/>
      <c r="P47" s="70"/>
      <c r="Q47" s="67"/>
      <c r="R47" s="67"/>
    </row>
    <row r="48" spans="1:18" ht="23" x14ac:dyDescent="0.25">
      <c r="A48" s="73"/>
      <c r="B48" s="73"/>
      <c r="C48" s="73"/>
      <c r="D48" s="73"/>
      <c r="E48" s="73"/>
      <c r="F48" s="73"/>
      <c r="G48" s="73"/>
      <c r="H48" s="73"/>
      <c r="I48" s="73"/>
      <c r="J48" s="73"/>
      <c r="K48" s="73"/>
      <c r="L48" s="73"/>
      <c r="M48" s="73"/>
      <c r="N48" s="73"/>
      <c r="O48" s="73"/>
      <c r="P48" s="57"/>
      <c r="Q48" s="67"/>
      <c r="R48" s="67"/>
    </row>
    <row r="49" spans="1:18" ht="23" x14ac:dyDescent="0.25">
      <c r="A49" s="117" t="s">
        <v>37</v>
      </c>
      <c r="B49" s="67"/>
      <c r="C49" s="67"/>
      <c r="D49" s="67"/>
      <c r="E49" s="67"/>
      <c r="F49" s="67"/>
      <c r="G49" s="67"/>
      <c r="H49" s="67"/>
      <c r="I49" s="73"/>
      <c r="J49" s="73"/>
      <c r="K49" s="73"/>
      <c r="L49" s="73"/>
      <c r="M49" s="73"/>
      <c r="N49" s="73"/>
      <c r="O49" s="73"/>
      <c r="P49" s="70"/>
      <c r="Q49" s="67"/>
      <c r="R49" s="67"/>
    </row>
    <row r="50" spans="1:18" ht="23" x14ac:dyDescent="0.25">
      <c r="A50" s="117" t="s">
        <v>39</v>
      </c>
      <c r="B50" s="67"/>
      <c r="C50" s="67"/>
      <c r="D50" s="67"/>
      <c r="E50" s="67"/>
      <c r="F50" s="67"/>
      <c r="G50" s="67"/>
      <c r="H50" s="67"/>
      <c r="I50" s="73"/>
      <c r="J50" s="73"/>
      <c r="K50" s="73"/>
      <c r="L50" s="73"/>
      <c r="M50" s="73"/>
      <c r="N50" s="73"/>
      <c r="O50" s="73"/>
      <c r="P50" s="70"/>
      <c r="Q50" s="67"/>
      <c r="R50" s="67"/>
    </row>
    <row r="51" spans="1:18" ht="23" x14ac:dyDescent="0.25">
      <c r="A51" s="117" t="s">
        <v>38</v>
      </c>
      <c r="B51" s="67"/>
      <c r="C51" s="67"/>
      <c r="D51" s="67"/>
      <c r="E51" s="67"/>
      <c r="F51" s="67"/>
      <c r="G51" s="67"/>
      <c r="H51" s="67"/>
      <c r="I51" s="73"/>
      <c r="J51" s="73"/>
      <c r="K51" s="73"/>
      <c r="L51" s="73"/>
      <c r="M51" s="73"/>
      <c r="N51" s="73"/>
      <c r="O51" s="73"/>
      <c r="P51" s="70"/>
      <c r="Q51" s="67"/>
      <c r="R51" s="67"/>
    </row>
    <row r="52" spans="1:18" ht="23" x14ac:dyDescent="0.25">
      <c r="A52" s="67"/>
      <c r="B52" s="67"/>
      <c r="C52" s="67"/>
      <c r="D52" s="67"/>
      <c r="E52" s="67"/>
      <c r="F52" s="67"/>
      <c r="G52" s="67"/>
      <c r="H52" s="67"/>
      <c r="I52" s="73"/>
      <c r="J52" s="73"/>
      <c r="K52" s="73"/>
      <c r="L52" s="73"/>
      <c r="M52" s="73"/>
      <c r="N52" s="73"/>
      <c r="O52" s="73"/>
      <c r="P52" s="70"/>
      <c r="Q52" s="67"/>
      <c r="R52" s="67"/>
    </row>
    <row r="53" spans="1:18" ht="23" x14ac:dyDescent="0.25">
      <c r="A53" s="48" t="s">
        <v>88</v>
      </c>
      <c r="C53" s="58">
        <f>C10</f>
        <v>1080</v>
      </c>
      <c r="D53" s="67"/>
      <c r="E53" s="67"/>
      <c r="F53" s="67"/>
      <c r="G53" s="67"/>
      <c r="H53" s="67"/>
      <c r="I53" s="73"/>
      <c r="J53" s="73"/>
      <c r="K53" s="73"/>
      <c r="L53" s="73"/>
      <c r="M53" s="73"/>
      <c r="N53" s="73"/>
      <c r="O53" s="73"/>
      <c r="P53" s="70"/>
      <c r="Q53" s="67"/>
      <c r="R53" s="67"/>
    </row>
    <row r="54" spans="1:18" ht="23" x14ac:dyDescent="0.25">
      <c r="A54" s="48" t="s">
        <v>89</v>
      </c>
      <c r="C54" s="58">
        <f>C45+C21</f>
        <v>95</v>
      </c>
      <c r="D54" s="67"/>
      <c r="E54" s="67"/>
      <c r="F54" s="67"/>
      <c r="G54" s="67"/>
      <c r="H54" s="67"/>
      <c r="I54" s="73"/>
      <c r="J54" s="73"/>
      <c r="K54" s="73"/>
      <c r="L54" s="73"/>
      <c r="M54" s="73"/>
      <c r="N54" s="73"/>
      <c r="O54" s="73"/>
      <c r="P54" s="70"/>
      <c r="Q54" s="67"/>
      <c r="R54" s="67"/>
    </row>
    <row r="55" spans="1:18" ht="23" x14ac:dyDescent="0.25">
      <c r="A55" s="48"/>
      <c r="B55" s="48"/>
      <c r="C55" s="103">
        <f>SUM(C53:C54)</f>
        <v>1175</v>
      </c>
      <c r="D55" s="73"/>
      <c r="E55" s="73"/>
      <c r="F55" s="73"/>
      <c r="G55" s="73"/>
      <c r="H55" s="73"/>
      <c r="I55" s="73"/>
      <c r="J55" s="73"/>
      <c r="K55" s="73"/>
      <c r="L55" s="73"/>
      <c r="M55" s="73"/>
      <c r="N55" s="73"/>
      <c r="O55" s="73"/>
      <c r="P55" s="70"/>
      <c r="Q55" s="67"/>
      <c r="R55" s="67"/>
    </row>
    <row r="56" spans="1:18" ht="23" x14ac:dyDescent="0.25">
      <c r="A56" s="73"/>
      <c r="B56" s="73"/>
      <c r="C56" s="73"/>
      <c r="D56" s="73"/>
      <c r="E56" s="73"/>
      <c r="F56" s="73"/>
      <c r="G56" s="73"/>
      <c r="H56" s="73"/>
      <c r="I56" s="73"/>
      <c r="J56" s="73"/>
      <c r="K56" s="73"/>
      <c r="L56" s="73"/>
      <c r="M56" s="73"/>
      <c r="N56" s="73"/>
      <c r="O56" s="73"/>
      <c r="P56" s="70"/>
      <c r="Q56" s="67"/>
      <c r="R56" s="67"/>
    </row>
    <row r="57" spans="1:18" ht="23" x14ac:dyDescent="0.25">
      <c r="A57" s="73"/>
      <c r="B57" s="73"/>
      <c r="C57" s="73"/>
      <c r="D57" s="73"/>
      <c r="E57" s="73"/>
      <c r="F57" s="73"/>
      <c r="G57" s="73"/>
      <c r="H57" s="73"/>
      <c r="I57" s="73"/>
      <c r="J57" s="73"/>
      <c r="K57" s="73"/>
      <c r="L57" s="73"/>
      <c r="M57" s="73"/>
      <c r="N57" s="73"/>
      <c r="O57" s="73"/>
      <c r="P57" s="70"/>
      <c r="Q57" s="67"/>
      <c r="R57" s="67"/>
    </row>
    <row r="58" spans="1:18" ht="23" x14ac:dyDescent="0.25">
      <c r="A58" s="73"/>
      <c r="B58" s="73"/>
      <c r="C58" s="73"/>
      <c r="D58" s="73"/>
      <c r="E58" s="73"/>
      <c r="F58" s="73"/>
      <c r="G58" s="73"/>
      <c r="H58" s="73"/>
      <c r="I58" s="73"/>
      <c r="J58" s="73"/>
      <c r="K58" s="73"/>
      <c r="L58" s="73"/>
      <c r="M58" s="73"/>
      <c r="N58" s="73"/>
      <c r="O58" s="73"/>
      <c r="P58" s="70"/>
      <c r="Q58" s="67"/>
      <c r="R58" s="67"/>
    </row>
    <row r="59" spans="1:18" ht="23" x14ac:dyDescent="0.25">
      <c r="A59" s="73"/>
      <c r="B59" s="73"/>
      <c r="C59" s="73"/>
      <c r="D59" s="73"/>
      <c r="E59" s="73"/>
      <c r="F59" s="73"/>
      <c r="G59" s="73"/>
      <c r="H59" s="73"/>
      <c r="I59" s="73"/>
      <c r="J59" s="73"/>
      <c r="K59" s="73"/>
      <c r="L59" s="73"/>
      <c r="M59" s="73"/>
      <c r="N59" s="73"/>
      <c r="O59" s="73"/>
      <c r="P59" s="70"/>
      <c r="Q59" s="67"/>
      <c r="R59" s="67"/>
    </row>
    <row r="60" spans="1:18" ht="23" x14ac:dyDescent="0.25">
      <c r="A60" s="73"/>
      <c r="B60" s="73"/>
      <c r="C60" s="73"/>
      <c r="D60" s="73"/>
      <c r="E60" s="73"/>
      <c r="F60" s="73"/>
      <c r="G60" s="73"/>
      <c r="H60" s="73"/>
      <c r="I60" s="73"/>
      <c r="J60" s="73"/>
      <c r="K60" s="73"/>
      <c r="L60" s="73"/>
      <c r="M60" s="73"/>
      <c r="N60" s="73"/>
      <c r="O60" s="73"/>
      <c r="P60" s="70"/>
      <c r="Q60" s="67"/>
      <c r="R60" s="67"/>
    </row>
    <row r="61" spans="1:18" ht="23" x14ac:dyDescent="0.25">
      <c r="A61" s="73"/>
      <c r="B61" s="73"/>
      <c r="C61" s="73"/>
      <c r="D61" s="73"/>
      <c r="E61" s="73"/>
      <c r="F61" s="73"/>
      <c r="G61" s="73"/>
      <c r="H61" s="73"/>
      <c r="I61" s="73"/>
      <c r="J61" s="73"/>
      <c r="K61" s="73"/>
      <c r="L61" s="73"/>
      <c r="M61" s="73"/>
      <c r="N61" s="73"/>
      <c r="O61" s="73"/>
      <c r="P61" s="70"/>
      <c r="Q61" s="67"/>
      <c r="R61" s="67"/>
    </row>
    <row r="62" spans="1:18" ht="23" x14ac:dyDescent="0.25">
      <c r="A62" s="73"/>
      <c r="B62" s="73"/>
      <c r="C62" s="73"/>
      <c r="D62" s="73"/>
      <c r="E62" s="73"/>
      <c r="F62" s="73"/>
      <c r="G62" s="73"/>
      <c r="H62" s="73"/>
      <c r="I62" s="73"/>
      <c r="J62" s="73"/>
      <c r="K62" s="73"/>
      <c r="L62" s="73"/>
      <c r="M62" s="73"/>
      <c r="N62" s="73"/>
      <c r="O62" s="73"/>
      <c r="P62" s="70"/>
      <c r="Q62" s="67"/>
      <c r="R62" s="67"/>
    </row>
    <row r="63" spans="1:18" ht="23" x14ac:dyDescent="0.25">
      <c r="A63" s="73"/>
      <c r="B63" s="73"/>
      <c r="C63" s="73"/>
      <c r="D63" s="73"/>
      <c r="E63" s="73"/>
      <c r="F63" s="73"/>
      <c r="G63" s="73"/>
      <c r="H63" s="73"/>
      <c r="I63" s="73"/>
      <c r="J63" s="73"/>
      <c r="K63" s="73"/>
      <c r="L63" s="73"/>
      <c r="M63" s="73"/>
      <c r="N63" s="73"/>
      <c r="O63" s="73"/>
      <c r="P63" s="70"/>
      <c r="Q63" s="67"/>
      <c r="R63" s="67"/>
    </row>
    <row r="64" spans="1:18" ht="23" x14ac:dyDescent="0.25">
      <c r="A64" s="73"/>
      <c r="B64" s="73"/>
      <c r="C64" s="73"/>
      <c r="D64" s="73"/>
      <c r="E64" s="73"/>
      <c r="F64" s="73"/>
      <c r="G64" s="73"/>
      <c r="H64" s="73"/>
      <c r="I64" s="73"/>
      <c r="J64" s="73"/>
      <c r="K64" s="73"/>
      <c r="L64" s="73"/>
      <c r="M64" s="73"/>
      <c r="N64" s="73"/>
      <c r="O64" s="73"/>
      <c r="P64" s="70"/>
      <c r="Q64" s="67"/>
      <c r="R64" s="67"/>
    </row>
    <row r="65" spans="1:18" ht="23" x14ac:dyDescent="0.25">
      <c r="A65" s="73"/>
      <c r="B65" s="73"/>
      <c r="C65" s="73"/>
      <c r="D65" s="73"/>
      <c r="E65" s="73"/>
      <c r="F65" s="73"/>
      <c r="G65" s="73"/>
      <c r="H65" s="73"/>
      <c r="I65" s="73"/>
      <c r="J65" s="73"/>
      <c r="K65" s="73"/>
      <c r="L65" s="73"/>
      <c r="M65" s="73"/>
      <c r="N65" s="73"/>
      <c r="O65" s="73"/>
      <c r="P65" s="70"/>
      <c r="Q65" s="67"/>
      <c r="R65" s="67"/>
    </row>
    <row r="66" spans="1:18" ht="23" x14ac:dyDescent="0.25">
      <c r="A66" s="73"/>
      <c r="B66" s="73"/>
      <c r="C66" s="73"/>
      <c r="D66" s="73"/>
      <c r="E66" s="73"/>
      <c r="F66" s="73"/>
      <c r="G66" s="73"/>
      <c r="H66" s="73"/>
      <c r="I66" s="73"/>
      <c r="J66" s="73"/>
      <c r="K66" s="73"/>
      <c r="L66" s="73"/>
      <c r="M66" s="73"/>
      <c r="N66" s="73"/>
      <c r="O66" s="73"/>
      <c r="P66" s="70"/>
      <c r="Q66" s="67"/>
      <c r="R66" s="67"/>
    </row>
    <row r="67" spans="1:18" ht="23" x14ac:dyDescent="0.25">
      <c r="A67" s="73"/>
      <c r="B67" s="73"/>
      <c r="C67" s="73"/>
      <c r="D67" s="73"/>
      <c r="E67" s="73"/>
      <c r="F67" s="73"/>
      <c r="G67" s="73"/>
      <c r="H67" s="73"/>
      <c r="I67" s="73"/>
      <c r="J67" s="73"/>
      <c r="K67" s="73"/>
      <c r="L67" s="73"/>
      <c r="M67" s="73"/>
      <c r="N67" s="73"/>
      <c r="O67" s="73"/>
      <c r="P67" s="70"/>
      <c r="Q67" s="67"/>
      <c r="R67" s="67"/>
    </row>
    <row r="68" spans="1:18" ht="23" x14ac:dyDescent="0.25">
      <c r="A68" s="73"/>
      <c r="B68" s="73"/>
      <c r="C68" s="73"/>
      <c r="D68" s="73"/>
      <c r="E68" s="73"/>
      <c r="F68" s="73"/>
      <c r="G68" s="73"/>
      <c r="H68" s="73"/>
      <c r="I68" s="73"/>
      <c r="J68" s="73"/>
      <c r="K68" s="73"/>
      <c r="L68" s="73"/>
      <c r="M68" s="73"/>
      <c r="N68" s="73"/>
      <c r="O68" s="73"/>
      <c r="P68" s="70"/>
      <c r="Q68" s="67"/>
      <c r="R68" s="67"/>
    </row>
    <row r="69" spans="1:18" ht="23" x14ac:dyDescent="0.25">
      <c r="A69" s="73"/>
      <c r="B69" s="73"/>
      <c r="C69" s="73"/>
      <c r="D69" s="73"/>
      <c r="E69" s="73"/>
      <c r="F69" s="73"/>
      <c r="G69" s="73"/>
      <c r="H69" s="73"/>
      <c r="I69" s="73"/>
      <c r="J69" s="73"/>
      <c r="K69" s="73"/>
      <c r="L69" s="73"/>
      <c r="M69" s="73"/>
      <c r="N69" s="73"/>
      <c r="O69" s="73"/>
      <c r="P69" s="70"/>
      <c r="Q69" s="67"/>
      <c r="R69" s="67"/>
    </row>
    <row r="70" spans="1:18" ht="23" x14ac:dyDescent="0.25">
      <c r="A70" s="73"/>
      <c r="B70" s="73"/>
      <c r="C70" s="73"/>
      <c r="D70" s="73"/>
      <c r="E70" s="73"/>
      <c r="F70" s="73"/>
      <c r="G70" s="73"/>
      <c r="H70" s="73"/>
      <c r="I70" s="73"/>
      <c r="J70" s="73"/>
      <c r="K70" s="73"/>
      <c r="L70" s="73"/>
      <c r="M70" s="73"/>
      <c r="N70" s="73"/>
      <c r="O70" s="73"/>
      <c r="P70" s="70"/>
      <c r="Q70" s="67"/>
      <c r="R70" s="67"/>
    </row>
    <row r="71" spans="1:18" ht="23" x14ac:dyDescent="0.25">
      <c r="A71" s="73"/>
      <c r="B71" s="73"/>
      <c r="C71" s="73"/>
      <c r="D71" s="73"/>
      <c r="E71" s="73"/>
      <c r="F71" s="73"/>
      <c r="G71" s="73"/>
      <c r="H71" s="73"/>
      <c r="I71" s="73"/>
      <c r="J71" s="73"/>
      <c r="K71" s="73"/>
      <c r="L71" s="73"/>
      <c r="M71" s="73"/>
      <c r="N71" s="73"/>
      <c r="O71" s="73"/>
      <c r="P71" s="70"/>
      <c r="Q71" s="67"/>
      <c r="R71" s="67"/>
    </row>
    <row r="72" spans="1:18" ht="23" x14ac:dyDescent="0.25">
      <c r="A72" s="73"/>
      <c r="B72" s="73"/>
      <c r="C72" s="73"/>
      <c r="D72" s="73"/>
      <c r="E72" s="73"/>
      <c r="F72" s="73"/>
      <c r="G72" s="73"/>
      <c r="H72" s="73"/>
      <c r="I72" s="73"/>
      <c r="J72" s="73"/>
      <c r="K72" s="73"/>
      <c r="L72" s="73"/>
      <c r="M72" s="73"/>
      <c r="N72" s="73"/>
      <c r="O72" s="73"/>
      <c r="P72" s="70"/>
      <c r="Q72" s="67"/>
      <c r="R72" s="67"/>
    </row>
    <row r="73" spans="1:18" ht="23" x14ac:dyDescent="0.25">
      <c r="A73" s="73"/>
      <c r="B73" s="73"/>
      <c r="C73" s="73"/>
      <c r="D73" s="73"/>
      <c r="E73" s="73"/>
      <c r="F73" s="73"/>
      <c r="G73" s="73"/>
      <c r="H73" s="73"/>
      <c r="I73" s="73"/>
      <c r="J73" s="73"/>
      <c r="K73" s="73"/>
      <c r="L73" s="73"/>
      <c r="M73" s="73"/>
      <c r="N73" s="73"/>
      <c r="O73" s="73"/>
      <c r="P73" s="70"/>
      <c r="Q73" s="67"/>
      <c r="R73" s="67"/>
    </row>
    <row r="74" spans="1:18" ht="23" x14ac:dyDescent="0.25">
      <c r="A74" s="73"/>
      <c r="B74" s="73"/>
      <c r="C74" s="73"/>
      <c r="D74" s="73"/>
      <c r="E74" s="73"/>
      <c r="F74" s="73"/>
      <c r="G74" s="73"/>
      <c r="H74" s="73"/>
      <c r="I74" s="73"/>
      <c r="J74" s="73"/>
      <c r="K74" s="73"/>
      <c r="L74" s="73"/>
      <c r="M74" s="73"/>
      <c r="N74" s="73"/>
      <c r="O74" s="73"/>
      <c r="P74" s="70"/>
      <c r="Q74" s="67"/>
      <c r="R74" s="67"/>
    </row>
    <row r="75" spans="1:18" ht="23" x14ac:dyDescent="0.25">
      <c r="A75" s="48"/>
      <c r="B75" s="48"/>
      <c r="C75" s="48"/>
      <c r="D75" s="48"/>
      <c r="E75" s="48"/>
      <c r="F75" s="48"/>
      <c r="G75" s="48"/>
      <c r="H75" s="48"/>
      <c r="I75" s="48"/>
      <c r="J75" s="48"/>
      <c r="K75" s="48"/>
      <c r="L75" s="48"/>
      <c r="M75" s="48"/>
      <c r="N75" s="48"/>
      <c r="O75" s="48"/>
      <c r="P75" s="60"/>
    </row>
    <row r="76" spans="1:18" ht="23" x14ac:dyDescent="0.25">
      <c r="A76" s="48"/>
      <c r="B76" s="48"/>
      <c r="C76" s="48"/>
      <c r="D76" s="48"/>
      <c r="E76" s="48"/>
      <c r="F76" s="48"/>
      <c r="G76" s="48"/>
      <c r="H76" s="48"/>
      <c r="I76" s="48"/>
      <c r="J76" s="48"/>
      <c r="K76" s="48"/>
      <c r="L76" s="48"/>
      <c r="M76" s="48"/>
      <c r="N76" s="48"/>
      <c r="O76" s="48"/>
      <c r="P76" s="60"/>
    </row>
    <row r="77" spans="1:18" ht="23" x14ac:dyDescent="0.25">
      <c r="A77" s="48"/>
      <c r="B77" s="48"/>
      <c r="C77" s="48"/>
      <c r="D77" s="48"/>
      <c r="E77" s="48"/>
      <c r="F77" s="48"/>
      <c r="G77" s="48"/>
      <c r="H77" s="48"/>
      <c r="I77" s="48"/>
      <c r="J77" s="48"/>
      <c r="K77" s="48"/>
      <c r="L77" s="48"/>
      <c r="M77" s="48"/>
      <c r="N77" s="48"/>
      <c r="O77" s="48"/>
      <c r="P77" s="60"/>
    </row>
    <row r="78" spans="1:18" ht="23" x14ac:dyDescent="0.25">
      <c r="A78" s="48"/>
      <c r="B78" s="48"/>
      <c r="C78" s="48"/>
      <c r="D78" s="48"/>
      <c r="E78" s="48"/>
      <c r="F78" s="48"/>
      <c r="G78" s="48"/>
      <c r="H78" s="48"/>
      <c r="I78" s="48"/>
      <c r="J78" s="48"/>
      <c r="K78" s="48"/>
      <c r="L78" s="48"/>
      <c r="M78" s="48"/>
      <c r="N78" s="48"/>
      <c r="O78" s="48"/>
      <c r="P78" s="60"/>
    </row>
    <row r="79" spans="1:18" ht="23" x14ac:dyDescent="0.25">
      <c r="A79" s="48"/>
      <c r="B79" s="48"/>
      <c r="C79" s="48"/>
      <c r="D79" s="48"/>
      <c r="E79" s="48"/>
      <c r="F79" s="48"/>
      <c r="G79" s="48"/>
      <c r="H79" s="48"/>
      <c r="I79" s="48"/>
      <c r="J79" s="48"/>
      <c r="K79" s="48"/>
      <c r="L79" s="48"/>
      <c r="M79" s="48"/>
      <c r="N79" s="48"/>
      <c r="O79" s="48"/>
      <c r="P79" s="60"/>
    </row>
    <row r="80" spans="1:18" ht="23" x14ac:dyDescent="0.25">
      <c r="A80" s="48"/>
      <c r="B80" s="48"/>
      <c r="C80" s="48"/>
      <c r="D80" s="48"/>
      <c r="E80" s="48"/>
      <c r="F80" s="48"/>
      <c r="G80" s="48"/>
      <c r="H80" s="48"/>
      <c r="I80" s="48"/>
      <c r="J80" s="48"/>
      <c r="K80" s="48"/>
      <c r="L80" s="48"/>
      <c r="M80" s="48"/>
      <c r="N80" s="48"/>
      <c r="O80" s="48"/>
      <c r="P80" s="60"/>
    </row>
    <row r="81" spans="1:16" ht="23" x14ac:dyDescent="0.25">
      <c r="A81" s="48"/>
      <c r="B81" s="48"/>
      <c r="C81" s="48"/>
      <c r="D81" s="48"/>
      <c r="E81" s="48"/>
      <c r="F81" s="48"/>
      <c r="G81" s="48"/>
      <c r="H81" s="48"/>
      <c r="I81" s="48"/>
      <c r="J81" s="48"/>
      <c r="K81" s="48"/>
      <c r="L81" s="48"/>
      <c r="M81" s="48"/>
      <c r="N81" s="48"/>
      <c r="O81" s="48"/>
      <c r="P81" s="60"/>
    </row>
    <row r="82" spans="1:16" ht="23" x14ac:dyDescent="0.25">
      <c r="A82" s="48"/>
      <c r="B82" s="48"/>
      <c r="C82" s="48"/>
      <c r="D82" s="48"/>
      <c r="E82" s="48"/>
      <c r="F82" s="48"/>
      <c r="G82" s="48"/>
      <c r="H82" s="48"/>
      <c r="I82" s="48"/>
      <c r="J82" s="48"/>
      <c r="K82" s="48"/>
      <c r="L82" s="48"/>
      <c r="M82" s="48"/>
      <c r="N82" s="48"/>
      <c r="O82" s="48"/>
      <c r="P82" s="60"/>
    </row>
    <row r="83" spans="1:16" ht="23" x14ac:dyDescent="0.25">
      <c r="A83" s="48"/>
      <c r="B83" s="48"/>
      <c r="C83" s="48"/>
      <c r="D83" s="48"/>
      <c r="E83" s="48"/>
      <c r="F83" s="48"/>
      <c r="G83" s="48"/>
      <c r="H83" s="48"/>
      <c r="I83" s="48"/>
      <c r="J83" s="48"/>
      <c r="K83" s="48"/>
      <c r="L83" s="48"/>
      <c r="M83" s="48"/>
      <c r="N83" s="48"/>
      <c r="O83" s="48"/>
      <c r="P83" s="60"/>
    </row>
    <row r="84" spans="1:16" ht="23" x14ac:dyDescent="0.25">
      <c r="A84" s="48"/>
      <c r="B84" s="48"/>
      <c r="C84" s="48"/>
      <c r="D84" s="48"/>
      <c r="E84" s="48"/>
      <c r="F84" s="48"/>
      <c r="G84" s="48"/>
      <c r="H84" s="48"/>
      <c r="I84" s="48"/>
      <c r="J84" s="48"/>
      <c r="K84" s="48"/>
      <c r="L84" s="48"/>
      <c r="M84" s="48"/>
      <c r="N84" s="48"/>
      <c r="O84" s="48"/>
      <c r="P84" s="60"/>
    </row>
    <row r="85" spans="1:16" ht="23" x14ac:dyDescent="0.25">
      <c r="A85" s="48"/>
      <c r="B85" s="48"/>
      <c r="C85" s="48"/>
      <c r="D85" s="48"/>
      <c r="E85" s="48"/>
      <c r="F85" s="48"/>
      <c r="G85" s="48"/>
      <c r="H85" s="48"/>
      <c r="I85" s="48"/>
      <c r="J85" s="48"/>
      <c r="K85" s="48"/>
      <c r="L85" s="48"/>
      <c r="M85" s="48"/>
      <c r="N85" s="48"/>
      <c r="O85" s="48"/>
      <c r="P85" s="60"/>
    </row>
    <row r="86" spans="1:16" ht="23" x14ac:dyDescent="0.25">
      <c r="A86" s="48"/>
      <c r="B86" s="48"/>
      <c r="C86" s="48"/>
      <c r="D86" s="48"/>
      <c r="E86" s="48"/>
      <c r="F86" s="48"/>
      <c r="G86" s="48"/>
      <c r="H86" s="48"/>
      <c r="I86" s="48"/>
      <c r="J86" s="48"/>
      <c r="K86" s="48"/>
      <c r="L86" s="48"/>
      <c r="M86" s="48"/>
      <c r="N86" s="48"/>
      <c r="O86" s="48"/>
      <c r="P86" s="60"/>
    </row>
    <row r="87" spans="1:16" ht="23" x14ac:dyDescent="0.25">
      <c r="A87" s="48"/>
      <c r="B87" s="48"/>
      <c r="C87" s="48"/>
      <c r="D87" s="48"/>
      <c r="E87" s="48"/>
      <c r="F87" s="48"/>
      <c r="G87" s="48"/>
      <c r="H87" s="48"/>
      <c r="I87" s="48"/>
      <c r="J87" s="48"/>
      <c r="K87" s="48"/>
      <c r="L87" s="48"/>
      <c r="M87" s="48"/>
      <c r="N87" s="48"/>
      <c r="O87" s="48"/>
      <c r="P87" s="60"/>
    </row>
    <row r="88" spans="1:16" ht="23" x14ac:dyDescent="0.25">
      <c r="A88" s="48"/>
      <c r="B88" s="48"/>
      <c r="C88" s="48"/>
      <c r="D88" s="48"/>
      <c r="E88" s="48"/>
      <c r="F88" s="48"/>
      <c r="G88" s="48"/>
      <c r="H88" s="48"/>
      <c r="I88" s="48"/>
      <c r="J88" s="48"/>
      <c r="K88" s="48"/>
      <c r="L88" s="48"/>
      <c r="M88" s="48"/>
      <c r="N88" s="48"/>
      <c r="O88" s="48"/>
      <c r="P88" s="60"/>
    </row>
    <row r="89" spans="1:16" ht="23" x14ac:dyDescent="0.25">
      <c r="A89" s="48"/>
      <c r="B89" s="48"/>
      <c r="C89" s="48"/>
      <c r="D89" s="48"/>
      <c r="E89" s="48"/>
      <c r="F89" s="48"/>
      <c r="G89" s="48"/>
      <c r="H89" s="48"/>
      <c r="I89" s="48"/>
      <c r="J89" s="48"/>
      <c r="K89" s="48"/>
      <c r="L89" s="48"/>
      <c r="M89" s="48"/>
      <c r="N89" s="48"/>
      <c r="O89" s="48"/>
      <c r="P89" s="60"/>
    </row>
    <row r="90" spans="1:16" ht="23" x14ac:dyDescent="0.25">
      <c r="A90" s="48"/>
      <c r="B90" s="48"/>
      <c r="C90" s="48"/>
      <c r="D90" s="48"/>
      <c r="E90" s="48"/>
      <c r="F90" s="48"/>
      <c r="G90" s="48"/>
      <c r="H90" s="48"/>
      <c r="I90" s="48"/>
      <c r="J90" s="48"/>
      <c r="K90" s="48"/>
      <c r="L90" s="48"/>
      <c r="M90" s="48"/>
      <c r="N90" s="48"/>
      <c r="O90" s="48"/>
      <c r="P90" s="60"/>
    </row>
    <row r="91" spans="1:16" ht="23" x14ac:dyDescent="0.25">
      <c r="A91" s="48"/>
      <c r="B91" s="48"/>
      <c r="C91" s="48"/>
      <c r="D91" s="48"/>
      <c r="E91" s="48"/>
      <c r="F91" s="48"/>
      <c r="G91" s="48"/>
      <c r="H91" s="48"/>
      <c r="I91" s="48"/>
      <c r="J91" s="48"/>
      <c r="K91" s="48"/>
      <c r="L91" s="48"/>
      <c r="M91" s="48"/>
      <c r="N91" s="48"/>
      <c r="O91" s="48"/>
      <c r="P91" s="60"/>
    </row>
    <row r="92" spans="1:16" ht="23" x14ac:dyDescent="0.25">
      <c r="A92" s="48"/>
      <c r="B92" s="48"/>
      <c r="C92" s="48"/>
      <c r="D92" s="48"/>
      <c r="E92" s="48"/>
      <c r="F92" s="48"/>
      <c r="G92" s="48"/>
      <c r="H92" s="48"/>
      <c r="I92" s="48"/>
      <c r="J92" s="48"/>
      <c r="K92" s="48"/>
      <c r="L92" s="48"/>
      <c r="M92" s="48"/>
      <c r="N92" s="48"/>
      <c r="O92" s="48"/>
      <c r="P92" s="60"/>
    </row>
    <row r="93" spans="1:16" ht="23" x14ac:dyDescent="0.25">
      <c r="A93" s="48"/>
      <c r="B93" s="48"/>
      <c r="C93" s="48"/>
      <c r="D93" s="48"/>
      <c r="E93" s="48"/>
      <c r="F93" s="48"/>
      <c r="G93" s="48"/>
      <c r="H93" s="48"/>
      <c r="I93" s="48"/>
      <c r="J93" s="48"/>
      <c r="K93" s="48"/>
      <c r="L93" s="48"/>
      <c r="M93" s="48"/>
      <c r="N93" s="48"/>
      <c r="O93" s="48"/>
      <c r="P93" s="60"/>
    </row>
    <row r="94" spans="1:16" ht="23" x14ac:dyDescent="0.25">
      <c r="A94" s="48"/>
      <c r="B94" s="48"/>
      <c r="C94" s="48"/>
      <c r="D94" s="48"/>
      <c r="E94" s="48"/>
      <c r="F94" s="48"/>
      <c r="G94" s="48"/>
      <c r="H94" s="48"/>
      <c r="I94" s="48"/>
      <c r="J94" s="48"/>
      <c r="K94" s="48"/>
      <c r="L94" s="48"/>
      <c r="M94" s="48"/>
      <c r="N94" s="48"/>
      <c r="O94" s="48"/>
      <c r="P94" s="60"/>
    </row>
    <row r="95" spans="1:16" ht="23" x14ac:dyDescent="0.25">
      <c r="A95" s="48"/>
      <c r="B95" s="48"/>
      <c r="C95" s="48"/>
      <c r="D95" s="48"/>
      <c r="E95" s="48"/>
      <c r="F95" s="48"/>
      <c r="G95" s="48"/>
      <c r="H95" s="48"/>
      <c r="I95" s="48"/>
      <c r="J95" s="48"/>
      <c r="K95" s="48"/>
      <c r="L95" s="48"/>
      <c r="M95" s="48"/>
      <c r="N95" s="48"/>
      <c r="O95" s="48"/>
      <c r="P95" s="60"/>
    </row>
    <row r="96" spans="1:16" ht="23" x14ac:dyDescent="0.25">
      <c r="A96" s="48"/>
      <c r="B96" s="48"/>
      <c r="C96" s="48"/>
      <c r="D96" s="48"/>
      <c r="E96" s="48"/>
      <c r="F96" s="48"/>
      <c r="G96" s="48"/>
      <c r="H96" s="48"/>
      <c r="I96" s="48"/>
      <c r="J96" s="48"/>
      <c r="K96" s="48"/>
      <c r="L96" s="48"/>
      <c r="M96" s="48"/>
      <c r="N96" s="48"/>
      <c r="O96" s="48"/>
      <c r="P96" s="60"/>
    </row>
    <row r="97" spans="1:16" ht="23" x14ac:dyDescent="0.25">
      <c r="A97" s="48"/>
      <c r="B97" s="48"/>
      <c r="C97" s="48"/>
      <c r="D97" s="48"/>
      <c r="E97" s="48"/>
      <c r="F97" s="48"/>
      <c r="G97" s="48"/>
      <c r="H97" s="48"/>
      <c r="I97" s="48"/>
      <c r="J97" s="48"/>
      <c r="K97" s="48"/>
      <c r="L97" s="48"/>
      <c r="M97" s="48"/>
      <c r="N97" s="48"/>
      <c r="O97" s="48"/>
      <c r="P97" s="60"/>
    </row>
    <row r="98" spans="1:16" ht="23" x14ac:dyDescent="0.25">
      <c r="A98" s="48"/>
      <c r="B98" s="48"/>
      <c r="C98" s="48"/>
      <c r="D98" s="48"/>
      <c r="E98" s="48"/>
      <c r="F98" s="48"/>
      <c r="G98" s="48"/>
      <c r="H98" s="48"/>
      <c r="I98" s="48"/>
      <c r="J98" s="48"/>
      <c r="K98" s="48"/>
      <c r="L98" s="48"/>
      <c r="M98" s="48"/>
      <c r="N98" s="48"/>
      <c r="O98" s="48"/>
      <c r="P98" s="60"/>
    </row>
    <row r="99" spans="1:16" ht="23" x14ac:dyDescent="0.25">
      <c r="A99" s="48"/>
      <c r="B99" s="48"/>
      <c r="C99" s="48"/>
      <c r="D99" s="48"/>
      <c r="E99" s="48"/>
      <c r="F99" s="48"/>
      <c r="G99" s="48"/>
      <c r="H99" s="48"/>
      <c r="I99" s="48"/>
      <c r="J99" s="48"/>
      <c r="K99" s="48"/>
      <c r="L99" s="48"/>
      <c r="M99" s="48"/>
      <c r="N99" s="48"/>
      <c r="O99" s="48"/>
      <c r="P99" s="60"/>
    </row>
    <row r="100" spans="1:16" ht="23" x14ac:dyDescent="0.25">
      <c r="A100" s="48"/>
      <c r="B100" s="48"/>
      <c r="C100" s="48"/>
      <c r="D100" s="48"/>
      <c r="E100" s="48"/>
      <c r="F100" s="48"/>
      <c r="G100" s="48"/>
      <c r="H100" s="48"/>
      <c r="I100" s="48"/>
      <c r="J100" s="48"/>
      <c r="K100" s="48"/>
      <c r="L100" s="48"/>
      <c r="M100" s="48"/>
      <c r="N100" s="48"/>
      <c r="O100" s="48"/>
      <c r="P100" s="60"/>
    </row>
    <row r="101" spans="1:16" ht="23" x14ac:dyDescent="0.25">
      <c r="A101" s="48"/>
      <c r="B101" s="48"/>
      <c r="C101" s="48"/>
      <c r="D101" s="48"/>
      <c r="E101" s="48"/>
      <c r="F101" s="48"/>
      <c r="G101" s="48"/>
      <c r="H101" s="48"/>
      <c r="I101" s="48"/>
      <c r="J101" s="48"/>
      <c r="K101" s="48"/>
      <c r="L101" s="48"/>
      <c r="M101" s="48"/>
      <c r="N101" s="48"/>
      <c r="O101" s="48"/>
      <c r="P101" s="60"/>
    </row>
    <row r="102" spans="1:16" ht="23" x14ac:dyDescent="0.25">
      <c r="A102" s="48"/>
      <c r="B102" s="48"/>
      <c r="C102" s="48"/>
      <c r="D102" s="48"/>
      <c r="E102" s="48"/>
      <c r="F102" s="48"/>
      <c r="G102" s="48"/>
      <c r="H102" s="48"/>
      <c r="I102" s="48"/>
      <c r="J102" s="48"/>
      <c r="K102" s="48"/>
      <c r="L102" s="48"/>
      <c r="M102" s="48"/>
      <c r="N102" s="48"/>
      <c r="O102" s="48"/>
      <c r="P102" s="60"/>
    </row>
    <row r="103" spans="1:16" ht="23" x14ac:dyDescent="0.25">
      <c r="A103" s="48"/>
      <c r="B103" s="48"/>
      <c r="C103" s="48"/>
      <c r="D103" s="48"/>
      <c r="E103" s="48"/>
      <c r="F103" s="48"/>
      <c r="G103" s="48"/>
      <c r="H103" s="48"/>
      <c r="I103" s="48"/>
      <c r="J103" s="48"/>
      <c r="K103" s="48"/>
      <c r="L103" s="48"/>
      <c r="M103" s="48"/>
      <c r="N103" s="48"/>
      <c r="O103" s="48"/>
      <c r="P103" s="60"/>
    </row>
    <row r="104" spans="1:16" ht="23" x14ac:dyDescent="0.25">
      <c r="A104" s="48"/>
      <c r="B104" s="48"/>
      <c r="C104" s="48"/>
      <c r="D104" s="48"/>
      <c r="E104" s="48"/>
      <c r="F104" s="48"/>
      <c r="G104" s="48"/>
      <c r="H104" s="48"/>
      <c r="I104" s="48"/>
      <c r="J104" s="48"/>
      <c r="K104" s="48"/>
      <c r="L104" s="48"/>
      <c r="M104" s="48"/>
      <c r="N104" s="48"/>
      <c r="O104" s="48"/>
      <c r="P104" s="60"/>
    </row>
    <row r="105" spans="1:16" ht="23" x14ac:dyDescent="0.25">
      <c r="A105" s="48"/>
      <c r="B105" s="48"/>
      <c r="C105" s="48"/>
      <c r="D105" s="48"/>
      <c r="E105" s="48"/>
      <c r="F105" s="48"/>
      <c r="G105" s="48"/>
      <c r="H105" s="48"/>
      <c r="I105" s="48"/>
      <c r="J105" s="48"/>
      <c r="K105" s="48"/>
      <c r="L105" s="48"/>
      <c r="M105" s="48"/>
      <c r="N105" s="48"/>
      <c r="O105" s="48"/>
      <c r="P105" s="60"/>
    </row>
    <row r="106" spans="1:16" ht="23" x14ac:dyDescent="0.25">
      <c r="A106" s="48"/>
      <c r="B106" s="48"/>
      <c r="C106" s="48"/>
      <c r="D106" s="48"/>
      <c r="E106" s="48"/>
      <c r="F106" s="48"/>
      <c r="G106" s="48"/>
      <c r="H106" s="48"/>
      <c r="I106" s="48"/>
      <c r="J106" s="48"/>
      <c r="K106" s="48"/>
      <c r="L106" s="48"/>
      <c r="M106" s="48"/>
      <c r="N106" s="48"/>
      <c r="O106" s="48"/>
      <c r="P106" s="60"/>
    </row>
    <row r="107" spans="1:16" ht="23" x14ac:dyDescent="0.25">
      <c r="A107" s="48"/>
      <c r="B107" s="48"/>
      <c r="C107" s="48"/>
      <c r="D107" s="48"/>
      <c r="E107" s="48"/>
      <c r="F107" s="48"/>
      <c r="G107" s="48"/>
      <c r="H107" s="48"/>
      <c r="I107" s="48"/>
      <c r="J107" s="48"/>
      <c r="K107" s="48"/>
      <c r="L107" s="48"/>
      <c r="M107" s="48"/>
      <c r="N107" s="48"/>
      <c r="O107" s="48"/>
      <c r="P107" s="60"/>
    </row>
    <row r="108" spans="1:16" ht="23" x14ac:dyDescent="0.25">
      <c r="A108" s="48"/>
      <c r="B108" s="48"/>
      <c r="C108" s="48"/>
      <c r="D108" s="48"/>
      <c r="E108" s="48"/>
      <c r="F108" s="48"/>
      <c r="G108" s="48"/>
      <c r="H108" s="48"/>
      <c r="I108" s="48"/>
      <c r="J108" s="48"/>
      <c r="K108" s="48"/>
      <c r="L108" s="48"/>
      <c r="M108" s="48"/>
      <c r="N108" s="48"/>
      <c r="O108" s="48"/>
      <c r="P108" s="60"/>
    </row>
    <row r="109" spans="1:16" ht="23" x14ac:dyDescent="0.25">
      <c r="A109" s="48"/>
      <c r="B109" s="48"/>
      <c r="C109" s="48"/>
      <c r="D109" s="48"/>
      <c r="E109" s="48"/>
      <c r="F109" s="48"/>
      <c r="G109" s="48"/>
      <c r="H109" s="48"/>
      <c r="I109" s="48"/>
      <c r="J109" s="48"/>
      <c r="K109" s="48"/>
      <c r="L109" s="48"/>
      <c r="M109" s="48"/>
      <c r="N109" s="48"/>
      <c r="O109" s="48"/>
      <c r="P109" s="60"/>
    </row>
    <row r="110" spans="1:16" ht="23" x14ac:dyDescent="0.25">
      <c r="A110" s="48"/>
      <c r="B110" s="48"/>
      <c r="C110" s="48"/>
      <c r="D110" s="48"/>
      <c r="E110" s="48"/>
      <c r="F110" s="48"/>
      <c r="G110" s="48"/>
      <c r="H110" s="48"/>
      <c r="I110" s="48"/>
      <c r="J110" s="48"/>
      <c r="K110" s="48"/>
      <c r="L110" s="48"/>
      <c r="M110" s="48"/>
      <c r="N110" s="48"/>
      <c r="O110" s="48"/>
      <c r="P110" s="60"/>
    </row>
    <row r="111" spans="1:16" ht="23" x14ac:dyDescent="0.25">
      <c r="A111" s="48"/>
      <c r="B111" s="48"/>
      <c r="C111" s="48"/>
      <c r="D111" s="48"/>
      <c r="E111" s="48"/>
      <c r="F111" s="48"/>
      <c r="G111" s="48"/>
      <c r="H111" s="48"/>
      <c r="I111" s="48"/>
      <c r="J111" s="48"/>
      <c r="K111" s="48"/>
      <c r="L111" s="48"/>
      <c r="M111" s="48"/>
      <c r="N111" s="48"/>
      <c r="O111" s="48"/>
      <c r="P111" s="60"/>
    </row>
    <row r="112" spans="1:16" ht="23" x14ac:dyDescent="0.25">
      <c r="A112" s="48"/>
      <c r="B112" s="48"/>
      <c r="C112" s="48"/>
      <c r="D112" s="48"/>
      <c r="E112" s="48"/>
      <c r="F112" s="48"/>
      <c r="G112" s="48"/>
      <c r="H112" s="48"/>
      <c r="I112" s="48"/>
      <c r="J112" s="48"/>
      <c r="K112" s="48"/>
      <c r="L112" s="48"/>
      <c r="M112" s="48"/>
      <c r="N112" s="48"/>
      <c r="O112" s="48"/>
      <c r="P112" s="60"/>
    </row>
    <row r="113" spans="1:16" ht="23" x14ac:dyDescent="0.25">
      <c r="A113" s="48"/>
      <c r="B113" s="48"/>
      <c r="C113" s="48"/>
      <c r="D113" s="48"/>
      <c r="E113" s="48"/>
      <c r="F113" s="48"/>
      <c r="G113" s="48"/>
      <c r="H113" s="48"/>
      <c r="I113" s="48"/>
      <c r="J113" s="48"/>
      <c r="K113" s="48"/>
      <c r="L113" s="48"/>
      <c r="M113" s="48"/>
      <c r="N113" s="48"/>
      <c r="O113" s="48"/>
      <c r="P113" s="60"/>
    </row>
    <row r="114" spans="1:16" ht="23" x14ac:dyDescent="0.25">
      <c r="A114" s="48"/>
      <c r="B114" s="48"/>
      <c r="C114" s="48"/>
      <c r="D114" s="48"/>
      <c r="E114" s="48"/>
      <c r="F114" s="48"/>
      <c r="G114" s="48"/>
      <c r="H114" s="48"/>
      <c r="I114" s="48"/>
      <c r="J114" s="48"/>
      <c r="K114" s="48"/>
      <c r="L114" s="48"/>
      <c r="M114" s="48"/>
      <c r="N114" s="48"/>
      <c r="O114" s="48"/>
      <c r="P114" s="60"/>
    </row>
    <row r="115" spans="1:16" ht="23" x14ac:dyDescent="0.25">
      <c r="A115" s="48"/>
      <c r="B115" s="48"/>
      <c r="C115" s="48"/>
      <c r="D115" s="48"/>
      <c r="E115" s="48"/>
      <c r="F115" s="48"/>
      <c r="G115" s="48"/>
      <c r="H115" s="48"/>
      <c r="I115" s="48"/>
      <c r="J115" s="48"/>
      <c r="K115" s="48"/>
      <c r="L115" s="48"/>
      <c r="M115" s="48"/>
      <c r="N115" s="48"/>
      <c r="O115" s="48"/>
      <c r="P115" s="60"/>
    </row>
    <row r="116" spans="1:16" ht="23" x14ac:dyDescent="0.25">
      <c r="A116" s="48"/>
      <c r="B116" s="48"/>
      <c r="C116" s="48"/>
      <c r="D116" s="48"/>
      <c r="E116" s="48"/>
      <c r="F116" s="48"/>
      <c r="G116" s="48"/>
      <c r="H116" s="48"/>
      <c r="I116" s="48"/>
      <c r="J116" s="48"/>
      <c r="K116" s="48"/>
      <c r="L116" s="48"/>
      <c r="M116" s="48"/>
      <c r="N116" s="48"/>
      <c r="O116" s="48"/>
      <c r="P116" s="60"/>
    </row>
    <row r="117" spans="1:16" ht="23" x14ac:dyDescent="0.25">
      <c r="A117" s="48"/>
      <c r="B117" s="48"/>
      <c r="C117" s="48"/>
      <c r="D117" s="48"/>
      <c r="E117" s="48"/>
      <c r="F117" s="48"/>
      <c r="G117" s="48"/>
      <c r="H117" s="48"/>
      <c r="I117" s="48"/>
      <c r="J117" s="48"/>
      <c r="K117" s="48"/>
      <c r="L117" s="48"/>
      <c r="M117" s="48"/>
      <c r="N117" s="48"/>
      <c r="O117" s="48"/>
      <c r="P117" s="60"/>
    </row>
    <row r="118" spans="1:16" ht="23" x14ac:dyDescent="0.25">
      <c r="A118" s="48"/>
      <c r="B118" s="48"/>
      <c r="C118" s="48"/>
      <c r="D118" s="48"/>
      <c r="E118" s="48"/>
      <c r="F118" s="48"/>
      <c r="G118" s="48"/>
      <c r="H118" s="48"/>
      <c r="I118" s="48"/>
      <c r="J118" s="48"/>
      <c r="K118" s="48"/>
      <c r="L118" s="48"/>
      <c r="M118" s="48"/>
      <c r="N118" s="48"/>
      <c r="O118" s="48"/>
      <c r="P118" s="60"/>
    </row>
    <row r="119" spans="1:16" ht="23" x14ac:dyDescent="0.25">
      <c r="A119" s="48"/>
      <c r="B119" s="48"/>
      <c r="C119" s="48"/>
      <c r="D119" s="48"/>
      <c r="E119" s="48"/>
      <c r="F119" s="48"/>
      <c r="G119" s="48"/>
      <c r="H119" s="48"/>
      <c r="I119" s="48"/>
      <c r="J119" s="48"/>
      <c r="K119" s="48"/>
      <c r="L119" s="48"/>
      <c r="M119" s="48"/>
      <c r="N119" s="48"/>
      <c r="O119" s="48"/>
      <c r="P119" s="60"/>
    </row>
    <row r="120" spans="1:16" ht="23" x14ac:dyDescent="0.25">
      <c r="A120" s="48"/>
      <c r="B120" s="48"/>
      <c r="C120" s="48"/>
      <c r="D120" s="48"/>
      <c r="E120" s="48"/>
      <c r="F120" s="48"/>
      <c r="G120" s="48"/>
      <c r="H120" s="48"/>
      <c r="I120" s="48"/>
      <c r="J120" s="48"/>
      <c r="K120" s="48"/>
      <c r="L120" s="48"/>
      <c r="M120" s="48"/>
      <c r="N120" s="48"/>
      <c r="O120" s="48"/>
      <c r="P120" s="60"/>
    </row>
    <row r="121" spans="1:16" ht="23" x14ac:dyDescent="0.25">
      <c r="A121" s="48"/>
      <c r="B121" s="48"/>
      <c r="C121" s="48"/>
      <c r="D121" s="48"/>
      <c r="E121" s="48"/>
      <c r="F121" s="48"/>
      <c r="G121" s="48"/>
      <c r="H121" s="48"/>
      <c r="I121" s="48"/>
      <c r="J121" s="48"/>
      <c r="K121" s="48"/>
      <c r="L121" s="48"/>
      <c r="M121" s="48"/>
      <c r="N121" s="48"/>
      <c r="O121" s="48"/>
      <c r="P121" s="60"/>
    </row>
    <row r="122" spans="1:16" ht="23" x14ac:dyDescent="0.25">
      <c r="A122" s="48"/>
      <c r="B122" s="48"/>
      <c r="C122" s="48"/>
      <c r="D122" s="48"/>
      <c r="E122" s="48"/>
      <c r="F122" s="48"/>
      <c r="G122" s="48"/>
      <c r="H122" s="48"/>
      <c r="I122" s="48"/>
      <c r="J122" s="48"/>
      <c r="K122" s="48"/>
      <c r="L122" s="48"/>
      <c r="M122" s="48"/>
      <c r="N122" s="48"/>
      <c r="O122" s="48"/>
      <c r="P122" s="60"/>
    </row>
    <row r="123" spans="1:16" ht="23" x14ac:dyDescent="0.25">
      <c r="A123" s="48"/>
      <c r="B123" s="48"/>
      <c r="C123" s="48"/>
      <c r="D123" s="48"/>
      <c r="E123" s="48"/>
      <c r="F123" s="48"/>
      <c r="G123" s="48"/>
      <c r="H123" s="48"/>
      <c r="I123" s="48"/>
      <c r="J123" s="48"/>
      <c r="K123" s="48"/>
      <c r="L123" s="48"/>
      <c r="M123" s="48"/>
      <c r="N123" s="48"/>
      <c r="O123" s="48"/>
      <c r="P123" s="60"/>
    </row>
  </sheetData>
  <mergeCells count="15">
    <mergeCell ref="A31:B31"/>
    <mergeCell ref="A39:B39"/>
    <mergeCell ref="A40:B40"/>
    <mergeCell ref="A43:B43"/>
    <mergeCell ref="A38:B38"/>
    <mergeCell ref="A42:B42"/>
    <mergeCell ref="A26:B26"/>
    <mergeCell ref="A30:B30"/>
    <mergeCell ref="A14:B14"/>
    <mergeCell ref="A15:B15"/>
    <mergeCell ref="A16:B16"/>
    <mergeCell ref="A18:B18"/>
    <mergeCell ref="A19:B19"/>
    <mergeCell ref="A27:B27"/>
    <mergeCell ref="A28:B28"/>
  </mergeCells>
  <phoneticPr fontId="3" type="noConversion"/>
  <pageMargins left="0.75" right="0.75" top="1" bottom="1" header="0.5" footer="0.5"/>
  <pageSetup paperSize="9" scale="49" orientation="landscape"/>
  <headerFooter alignWithMargins="0"/>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zoomScale="80" zoomScaleNormal="80" workbookViewId="0">
      <selection activeCell="G16" sqref="G16"/>
    </sheetView>
  </sheetViews>
  <sheetFormatPr baseColWidth="10" defaultColWidth="9" defaultRowHeight="13" x14ac:dyDescent="0.15"/>
  <cols>
    <col min="1" max="1" width="40" bestFit="1" customWidth="1"/>
    <col min="2" max="2" width="9" customWidth="1"/>
    <col min="3" max="3" width="21" customWidth="1"/>
    <col min="4" max="4" width="24.3984375" customWidth="1"/>
    <col min="5" max="5" width="22" customWidth="1"/>
    <col min="6" max="8" width="21" customWidth="1"/>
    <col min="9" max="9" width="21.3984375" bestFit="1" customWidth="1"/>
  </cols>
  <sheetData>
    <row r="1" spans="1:9" ht="30" customHeight="1" x14ac:dyDescent="0.3">
      <c r="D1" s="90" t="s">
        <v>43</v>
      </c>
    </row>
    <row r="2" spans="1:9" ht="45.75" customHeight="1" x14ac:dyDescent="0.15"/>
    <row r="3" spans="1:9" ht="28" x14ac:dyDescent="0.3">
      <c r="A3" s="65" t="s">
        <v>163</v>
      </c>
    </row>
    <row r="4" spans="1:9" ht="23" x14ac:dyDescent="0.25">
      <c r="A4" s="48"/>
      <c r="B4" s="48"/>
      <c r="C4" s="118" t="s">
        <v>72</v>
      </c>
      <c r="D4" s="118" t="s">
        <v>19</v>
      </c>
      <c r="E4" s="118" t="s">
        <v>20</v>
      </c>
      <c r="F4" s="118" t="s">
        <v>21</v>
      </c>
      <c r="H4" s="61"/>
      <c r="I4" s="118" t="s">
        <v>145</v>
      </c>
    </row>
    <row r="5" spans="1:9" ht="23" x14ac:dyDescent="0.25">
      <c r="A5" s="53" t="s">
        <v>18</v>
      </c>
      <c r="B5" s="48"/>
      <c r="C5" s="124"/>
      <c r="D5" s="62">
        <f>SUM('MRP Deep South'!D20:O20)</f>
        <v>420</v>
      </c>
      <c r="E5" s="62">
        <f>SUM('MRP Deep South'!D32:O32)</f>
        <v>380</v>
      </c>
      <c r="F5" s="62">
        <f>SUM('MRP Deep South'!D44:O44)</f>
        <v>425</v>
      </c>
      <c r="H5" s="62"/>
      <c r="I5" s="62">
        <f>SUM(D5:F5)</f>
        <v>1225</v>
      </c>
    </row>
    <row r="6" spans="1:9" ht="23" x14ac:dyDescent="0.25">
      <c r="A6" s="48" t="s">
        <v>24</v>
      </c>
      <c r="B6" s="48"/>
      <c r="C6" s="63"/>
      <c r="D6" s="63">
        <f>SUM('MRP Deep South'!C16:O16)*0.5</f>
        <v>152.5</v>
      </c>
      <c r="E6" s="63">
        <f>SUM('MRP Deep South'!C28:O28)*0.5</f>
        <v>175</v>
      </c>
      <c r="F6" s="63">
        <f>SUM('MRP Deep South'!C40:O40)*0.5</f>
        <v>17.5</v>
      </c>
      <c r="H6" s="63"/>
      <c r="I6" s="62">
        <f>SUM(D6:F6)</f>
        <v>345</v>
      </c>
    </row>
    <row r="7" spans="1:9" ht="23" x14ac:dyDescent="0.25">
      <c r="A7" s="48"/>
      <c r="B7" s="48"/>
      <c r="D7" s="48"/>
      <c r="E7" s="48"/>
      <c r="F7" s="48"/>
      <c r="G7" s="48"/>
      <c r="H7" s="48"/>
    </row>
    <row r="8" spans="1:9" ht="23" x14ac:dyDescent="0.25">
      <c r="A8" s="48" t="s">
        <v>30</v>
      </c>
      <c r="B8" s="48"/>
      <c r="C8" s="58">
        <f>'MRP Deep South'!C45+'MRP Deep South'!C21</f>
        <v>95</v>
      </c>
      <c r="D8" s="48"/>
      <c r="E8" s="48"/>
      <c r="F8" s="48"/>
      <c r="G8" s="48"/>
      <c r="H8" s="48"/>
    </row>
    <row r="9" spans="1:9" ht="23" x14ac:dyDescent="0.25">
      <c r="A9" s="48" t="s">
        <v>31</v>
      </c>
      <c r="B9" s="48"/>
      <c r="C9" s="58">
        <f>'MRP Deep South'!C10</f>
        <v>1080</v>
      </c>
      <c r="D9" s="48"/>
      <c r="E9" s="48"/>
      <c r="F9" s="48"/>
      <c r="G9" s="48"/>
      <c r="H9" s="48"/>
    </row>
    <row r="10" spans="1:9" ht="23" x14ac:dyDescent="0.25">
      <c r="A10" s="121" t="s">
        <v>167</v>
      </c>
      <c r="B10" s="119"/>
      <c r="C10" s="120">
        <f>SUM(C8:C9)</f>
        <v>1175</v>
      </c>
    </row>
    <row r="13" spans="1:9" ht="28" x14ac:dyDescent="0.3">
      <c r="A13" s="65" t="s">
        <v>40</v>
      </c>
    </row>
    <row r="14" spans="1:9" ht="23" x14ac:dyDescent="0.25">
      <c r="A14" s="48"/>
      <c r="B14" s="48"/>
      <c r="C14" s="118" t="s">
        <v>71</v>
      </c>
      <c r="D14" s="118" t="s">
        <v>25</v>
      </c>
      <c r="E14" s="118" t="s">
        <v>26</v>
      </c>
      <c r="F14" s="118" t="s">
        <v>27</v>
      </c>
      <c r="G14" s="118" t="s">
        <v>22</v>
      </c>
      <c r="H14" s="118" t="s">
        <v>23</v>
      </c>
      <c r="I14" s="118" t="s">
        <v>145</v>
      </c>
    </row>
    <row r="15" spans="1:9" ht="23" x14ac:dyDescent="0.25">
      <c r="A15" s="53" t="s">
        <v>18</v>
      </c>
      <c r="B15" s="48"/>
      <c r="C15" s="124"/>
      <c r="D15" s="62">
        <f>SUM('MRP NW Grunge'!D20:O20)</f>
        <v>560</v>
      </c>
      <c r="E15" s="62">
        <f>SUM('MRP NW Grunge'!D32:O32)</f>
        <v>750</v>
      </c>
      <c r="F15" s="62">
        <f>SUM('MRP NW Grunge'!D44:O44)</f>
        <v>340</v>
      </c>
      <c r="G15" s="62">
        <f>SUM('MRP NW Grunge'!D56:O56)</f>
        <v>36.4</v>
      </c>
      <c r="H15" s="62">
        <f>SUM('MRP NW Grunge'!D68:O68)</f>
        <v>68</v>
      </c>
      <c r="I15" s="62">
        <f>SUM(D15:H15)</f>
        <v>1754.4</v>
      </c>
    </row>
    <row r="16" spans="1:9" ht="23" x14ac:dyDescent="0.25">
      <c r="A16" s="48" t="s">
        <v>24</v>
      </c>
      <c r="B16" s="48"/>
      <c r="C16" s="63"/>
      <c r="D16" s="63">
        <f>SUM('MRP NW Grunge'!C16:O16)*0.5</f>
        <v>360</v>
      </c>
      <c r="E16" s="63">
        <f>SUM('MRP NW Grunge'!C28:O28)*0.5</f>
        <v>319</v>
      </c>
      <c r="F16" s="63">
        <f>SUM('MRP NW Grunge'!C40:O40)*0.5</f>
        <v>310</v>
      </c>
      <c r="G16" s="63">
        <f>SUM('MRP NW Grunge'!C52:O52)*0.5</f>
        <v>1244</v>
      </c>
      <c r="H16" s="63">
        <f>SUM('MRP NW Grunge'!C64:O64)*0.5</f>
        <v>395.5</v>
      </c>
      <c r="I16" s="62">
        <f>SUM(D16:H16)</f>
        <v>2628.5</v>
      </c>
    </row>
    <row r="17" spans="1:9" ht="23" x14ac:dyDescent="0.25">
      <c r="A17" s="48"/>
      <c r="B17" s="48"/>
      <c r="C17" s="63"/>
      <c r="D17" s="63"/>
      <c r="E17" s="63"/>
      <c r="F17" s="63"/>
      <c r="G17" s="63"/>
      <c r="H17" s="63"/>
    </row>
    <row r="18" spans="1:9" ht="23" x14ac:dyDescent="0.25">
      <c r="A18" s="48" t="s">
        <v>28</v>
      </c>
      <c r="B18" s="48"/>
      <c r="C18" s="64">
        <f>'MRP NW Grunge'!C69+'MRP NW Grunge'!C57</f>
        <v>38</v>
      </c>
      <c r="D18" s="61"/>
      <c r="E18" s="61"/>
      <c r="F18" s="61"/>
      <c r="G18" s="61"/>
    </row>
    <row r="19" spans="1:9" ht="23" x14ac:dyDescent="0.25">
      <c r="A19" s="48" t="s">
        <v>29</v>
      </c>
      <c r="B19" s="48"/>
      <c r="C19" s="64">
        <f>'MRP NW Grunge'!C10</f>
        <v>312</v>
      </c>
      <c r="D19" s="61"/>
      <c r="E19" s="61"/>
      <c r="F19" s="61"/>
      <c r="G19" s="61"/>
      <c r="H19" s="61"/>
    </row>
    <row r="20" spans="1:9" ht="23" x14ac:dyDescent="0.25">
      <c r="A20" s="121" t="s">
        <v>168</v>
      </c>
      <c r="B20" s="119"/>
      <c r="C20" s="120">
        <f>SUM(C18:C19)</f>
        <v>350</v>
      </c>
    </row>
    <row r="21" spans="1:9" ht="23" x14ac:dyDescent="0.25">
      <c r="C21" s="53"/>
      <c r="H21" s="122" t="s">
        <v>165</v>
      </c>
      <c r="I21" s="123">
        <f>I15+I5</f>
        <v>2979.4</v>
      </c>
    </row>
    <row r="22" spans="1:9" ht="23" x14ac:dyDescent="0.25">
      <c r="A22" s="122" t="s">
        <v>164</v>
      </c>
      <c r="B22" s="116"/>
      <c r="C22" s="123">
        <f>C10+C20</f>
        <v>1525</v>
      </c>
      <c r="H22" s="122" t="s">
        <v>166</v>
      </c>
      <c r="I22" s="123">
        <f>I16+I6</f>
        <v>2973.5</v>
      </c>
    </row>
    <row r="25" spans="1:9" ht="28" x14ac:dyDescent="0.3">
      <c r="C25" s="125"/>
    </row>
  </sheetData>
  <phoneticPr fontId="3" type="noConversion"/>
  <pageMargins left="0.75" right="0.75" top="1" bottom="1" header="0.5" footer="0.5"/>
  <pageSetup paperSize="9" scale="80"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Y84"/>
  <sheetViews>
    <sheetView topLeftCell="A9" zoomScale="120" zoomScaleNormal="120" workbookViewId="0">
      <selection activeCell="M34" sqref="M34"/>
    </sheetView>
  </sheetViews>
  <sheetFormatPr baseColWidth="10" defaultColWidth="12" defaultRowHeight="13" x14ac:dyDescent="0.15"/>
  <cols>
    <col min="1" max="1" width="13.59765625" customWidth="1"/>
    <col min="2" max="4" width="7.19921875" customWidth="1"/>
    <col min="5" max="5" width="8.19921875" customWidth="1"/>
    <col min="6" max="6" width="13.3984375" customWidth="1"/>
    <col min="7" max="7" width="2.59765625" customWidth="1"/>
    <col min="8" max="9" width="12.19921875" customWidth="1"/>
    <col min="10" max="10" width="3.19921875" customWidth="1"/>
    <col min="11" max="11" width="8.59765625" bestFit="1" customWidth="1"/>
    <col min="12" max="12" width="4.59765625" bestFit="1" customWidth="1"/>
    <col min="13" max="17" width="12.19921875" customWidth="1"/>
    <col min="25" max="25" width="22.19921875" customWidth="1"/>
  </cols>
  <sheetData>
    <row r="2" spans="1:12" x14ac:dyDescent="0.15">
      <c r="A2" t="s">
        <v>90</v>
      </c>
      <c r="B2">
        <v>1</v>
      </c>
      <c r="C2">
        <v>2</v>
      </c>
      <c r="D2">
        <v>3</v>
      </c>
      <c r="E2" t="s">
        <v>91</v>
      </c>
      <c r="F2" t="s">
        <v>92</v>
      </c>
      <c r="H2" t="s">
        <v>93</v>
      </c>
      <c r="I2" t="s">
        <v>94</v>
      </c>
      <c r="K2" t="s">
        <v>95</v>
      </c>
      <c r="L2" t="s">
        <v>96</v>
      </c>
    </row>
    <row r="3" spans="1:12" x14ac:dyDescent="0.15">
      <c r="A3" s="40" t="s">
        <v>116</v>
      </c>
      <c r="B3">
        <v>22</v>
      </c>
      <c r="C3">
        <v>21</v>
      </c>
      <c r="D3">
        <v>17</v>
      </c>
      <c r="E3">
        <v>0</v>
      </c>
      <c r="F3">
        <f>E3+B3</f>
        <v>22</v>
      </c>
      <c r="H3">
        <f>F3</f>
        <v>22</v>
      </c>
      <c r="I3">
        <f t="shared" ref="I3:I10" si="0">H3+C3</f>
        <v>43</v>
      </c>
      <c r="K3">
        <f>I3</f>
        <v>43</v>
      </c>
      <c r="L3">
        <f>K3+D3</f>
        <v>60</v>
      </c>
    </row>
    <row r="4" spans="1:12" x14ac:dyDescent="0.15">
      <c r="A4" s="40" t="s">
        <v>117</v>
      </c>
      <c r="B4">
        <v>15</v>
      </c>
      <c r="C4">
        <v>2</v>
      </c>
      <c r="D4">
        <v>6</v>
      </c>
      <c r="E4">
        <f>F3</f>
        <v>22</v>
      </c>
      <c r="F4">
        <f>E4+B4</f>
        <v>37</v>
      </c>
      <c r="H4">
        <f t="shared" ref="H4:H10" si="1">IF(I3&gt;F4,I3,F4)</f>
        <v>43</v>
      </c>
      <c r="I4">
        <f t="shared" si="0"/>
        <v>45</v>
      </c>
      <c r="K4">
        <f>IF(L3&gt;I4,L3,I4)</f>
        <v>60</v>
      </c>
      <c r="L4">
        <f>K4+D4</f>
        <v>66</v>
      </c>
    </row>
    <row r="5" spans="1:12" x14ac:dyDescent="0.15">
      <c r="A5" s="40" t="s">
        <v>118</v>
      </c>
      <c r="B5">
        <v>112</v>
      </c>
      <c r="C5">
        <v>61</v>
      </c>
      <c r="D5">
        <v>13</v>
      </c>
      <c r="E5">
        <f t="shared" ref="E5:E10" si="2">F4</f>
        <v>37</v>
      </c>
      <c r="F5">
        <f t="shared" ref="F5:F10" si="3">E5+B5</f>
        <v>149</v>
      </c>
      <c r="H5">
        <f t="shared" si="1"/>
        <v>149</v>
      </c>
      <c r="I5">
        <f t="shared" si="0"/>
        <v>210</v>
      </c>
      <c r="K5">
        <f t="shared" ref="K5:K10" si="4">IF(L4&gt;I5,L4,I5)</f>
        <v>210</v>
      </c>
      <c r="L5">
        <f t="shared" ref="L5:L10" si="5">K5+D5</f>
        <v>223</v>
      </c>
    </row>
    <row r="6" spans="1:12" x14ac:dyDescent="0.15">
      <c r="A6" s="40" t="s">
        <v>119</v>
      </c>
      <c r="B6">
        <v>11</v>
      </c>
      <c r="C6">
        <v>11</v>
      </c>
      <c r="D6">
        <v>7</v>
      </c>
      <c r="E6">
        <f t="shared" si="2"/>
        <v>149</v>
      </c>
      <c r="F6">
        <f t="shared" si="3"/>
        <v>160</v>
      </c>
      <c r="H6">
        <f t="shared" si="1"/>
        <v>210</v>
      </c>
      <c r="I6">
        <f t="shared" si="0"/>
        <v>221</v>
      </c>
      <c r="K6">
        <f t="shared" si="4"/>
        <v>223</v>
      </c>
      <c r="L6">
        <f t="shared" si="5"/>
        <v>230</v>
      </c>
    </row>
    <row r="7" spans="1:12" x14ac:dyDescent="0.15">
      <c r="A7" s="40" t="s">
        <v>120</v>
      </c>
      <c r="B7">
        <v>34</v>
      </c>
      <c r="C7">
        <v>10</v>
      </c>
      <c r="D7">
        <v>18</v>
      </c>
      <c r="E7">
        <f t="shared" si="2"/>
        <v>160</v>
      </c>
      <c r="F7">
        <f t="shared" si="3"/>
        <v>194</v>
      </c>
      <c r="H7">
        <f t="shared" si="1"/>
        <v>221</v>
      </c>
      <c r="I7">
        <f t="shared" si="0"/>
        <v>231</v>
      </c>
      <c r="K7">
        <f t="shared" si="4"/>
        <v>231</v>
      </c>
      <c r="L7">
        <f t="shared" si="5"/>
        <v>249</v>
      </c>
    </row>
    <row r="8" spans="1:12" x14ac:dyDescent="0.15">
      <c r="A8" s="40" t="s">
        <v>121</v>
      </c>
      <c r="B8">
        <v>57</v>
      </c>
      <c r="C8">
        <v>12</v>
      </c>
      <c r="D8">
        <v>11</v>
      </c>
      <c r="E8">
        <f t="shared" si="2"/>
        <v>194</v>
      </c>
      <c r="F8">
        <f t="shared" si="3"/>
        <v>251</v>
      </c>
      <c r="H8">
        <f t="shared" si="1"/>
        <v>251</v>
      </c>
      <c r="I8">
        <f t="shared" si="0"/>
        <v>263</v>
      </c>
      <c r="K8">
        <f t="shared" si="4"/>
        <v>263</v>
      </c>
      <c r="L8">
        <f t="shared" si="5"/>
        <v>274</v>
      </c>
    </row>
    <row r="9" spans="1:12" x14ac:dyDescent="0.15">
      <c r="A9" s="40" t="s">
        <v>122</v>
      </c>
      <c r="B9">
        <v>7</v>
      </c>
      <c r="C9">
        <v>3</v>
      </c>
      <c r="D9">
        <v>21</v>
      </c>
      <c r="E9">
        <f t="shared" si="2"/>
        <v>251</v>
      </c>
      <c r="F9">
        <f t="shared" si="3"/>
        <v>258</v>
      </c>
      <c r="H9">
        <f t="shared" si="1"/>
        <v>263</v>
      </c>
      <c r="I9">
        <f t="shared" si="0"/>
        <v>266</v>
      </c>
      <c r="K9">
        <f t="shared" si="4"/>
        <v>274</v>
      </c>
      <c r="L9">
        <f t="shared" si="5"/>
        <v>295</v>
      </c>
    </row>
    <row r="10" spans="1:12" x14ac:dyDescent="0.15">
      <c r="A10" s="40" t="s">
        <v>123</v>
      </c>
      <c r="B10">
        <v>54</v>
      </c>
      <c r="C10">
        <v>43</v>
      </c>
      <c r="D10">
        <v>28</v>
      </c>
      <c r="E10">
        <f t="shared" si="2"/>
        <v>258</v>
      </c>
      <c r="F10">
        <f t="shared" si="3"/>
        <v>312</v>
      </c>
      <c r="H10">
        <f t="shared" si="1"/>
        <v>312</v>
      </c>
      <c r="I10">
        <f t="shared" si="0"/>
        <v>355</v>
      </c>
      <c r="K10">
        <f t="shared" si="4"/>
        <v>355</v>
      </c>
      <c r="L10">
        <f t="shared" si="5"/>
        <v>383</v>
      </c>
    </row>
    <row r="13" spans="1:12" x14ac:dyDescent="0.15">
      <c r="A13" t="s">
        <v>90</v>
      </c>
      <c r="B13">
        <v>1</v>
      </c>
      <c r="C13">
        <v>2</v>
      </c>
      <c r="D13">
        <v>3</v>
      </c>
      <c r="E13" t="s">
        <v>91</v>
      </c>
      <c r="F13" t="s">
        <v>92</v>
      </c>
      <c r="H13" t="s">
        <v>93</v>
      </c>
      <c r="I13" t="s">
        <v>94</v>
      </c>
      <c r="K13" t="s">
        <v>95</v>
      </c>
      <c r="L13" t="s">
        <v>96</v>
      </c>
    </row>
    <row r="14" spans="1:12" x14ac:dyDescent="0.15">
      <c r="A14" s="40" t="s">
        <v>122</v>
      </c>
      <c r="B14">
        <v>7</v>
      </c>
      <c r="C14">
        <v>3</v>
      </c>
      <c r="D14">
        <v>21</v>
      </c>
      <c r="E14">
        <v>0</v>
      </c>
      <c r="F14">
        <f>E14+B14</f>
        <v>7</v>
      </c>
      <c r="H14">
        <f>F14</f>
        <v>7</v>
      </c>
      <c r="I14">
        <f t="shared" ref="I14:I21" si="6">H14+C14</f>
        <v>10</v>
      </c>
      <c r="K14">
        <f>I14</f>
        <v>10</v>
      </c>
      <c r="L14">
        <f>K14+D14</f>
        <v>31</v>
      </c>
    </row>
    <row r="15" spans="1:12" x14ac:dyDescent="0.15">
      <c r="A15" s="40" t="s">
        <v>123</v>
      </c>
      <c r="B15">
        <v>54</v>
      </c>
      <c r="C15">
        <v>43</v>
      </c>
      <c r="D15">
        <v>28</v>
      </c>
      <c r="E15">
        <f>F14</f>
        <v>7</v>
      </c>
      <c r="F15">
        <f>E15+B15</f>
        <v>61</v>
      </c>
      <c r="H15">
        <f t="shared" ref="H15:H21" si="7">IF(I14&gt;F15,I14,F15)</f>
        <v>61</v>
      </c>
      <c r="I15">
        <f t="shared" si="6"/>
        <v>104</v>
      </c>
      <c r="K15">
        <f>IF(L14&gt;I15,L14,I15)</f>
        <v>104</v>
      </c>
      <c r="L15">
        <f>K15+D15</f>
        <v>132</v>
      </c>
    </row>
    <row r="16" spans="1:12" x14ac:dyDescent="0.15">
      <c r="A16" s="40" t="s">
        <v>120</v>
      </c>
      <c r="B16">
        <v>34</v>
      </c>
      <c r="C16">
        <v>10</v>
      </c>
      <c r="D16">
        <v>18</v>
      </c>
      <c r="E16">
        <f t="shared" ref="E16:E21" si="8">F15</f>
        <v>61</v>
      </c>
      <c r="F16">
        <f t="shared" ref="F16:F21" si="9">E16+B16</f>
        <v>95</v>
      </c>
      <c r="H16">
        <f t="shared" si="7"/>
        <v>104</v>
      </c>
      <c r="I16">
        <f t="shared" si="6"/>
        <v>114</v>
      </c>
      <c r="K16">
        <f t="shared" ref="K16:K21" si="10">IF(L15&gt;I16,L15,I16)</f>
        <v>132</v>
      </c>
      <c r="L16">
        <f t="shared" ref="L16:L21" si="11">K16+D16</f>
        <v>150</v>
      </c>
    </row>
    <row r="17" spans="1:12" x14ac:dyDescent="0.15">
      <c r="A17" s="40" t="s">
        <v>116</v>
      </c>
      <c r="B17">
        <v>22</v>
      </c>
      <c r="C17">
        <v>21</v>
      </c>
      <c r="D17">
        <v>17</v>
      </c>
      <c r="E17">
        <f t="shared" si="8"/>
        <v>95</v>
      </c>
      <c r="F17">
        <f t="shared" si="9"/>
        <v>117</v>
      </c>
      <c r="H17">
        <f t="shared" si="7"/>
        <v>117</v>
      </c>
      <c r="I17">
        <f t="shared" si="6"/>
        <v>138</v>
      </c>
      <c r="K17">
        <f t="shared" si="10"/>
        <v>150</v>
      </c>
      <c r="L17">
        <f t="shared" si="11"/>
        <v>167</v>
      </c>
    </row>
    <row r="18" spans="1:12" x14ac:dyDescent="0.15">
      <c r="A18" s="40" t="s">
        <v>118</v>
      </c>
      <c r="B18">
        <v>112</v>
      </c>
      <c r="C18">
        <v>61</v>
      </c>
      <c r="D18">
        <v>13</v>
      </c>
      <c r="E18">
        <f t="shared" si="8"/>
        <v>117</v>
      </c>
      <c r="F18">
        <f t="shared" si="9"/>
        <v>229</v>
      </c>
      <c r="H18">
        <f t="shared" si="7"/>
        <v>229</v>
      </c>
      <c r="I18">
        <f t="shared" si="6"/>
        <v>290</v>
      </c>
      <c r="K18">
        <f t="shared" si="10"/>
        <v>290</v>
      </c>
      <c r="L18">
        <f t="shared" si="11"/>
        <v>303</v>
      </c>
    </row>
    <row r="19" spans="1:12" x14ac:dyDescent="0.15">
      <c r="A19" s="40" t="s">
        <v>121</v>
      </c>
      <c r="B19">
        <v>57</v>
      </c>
      <c r="C19">
        <v>12</v>
      </c>
      <c r="D19">
        <v>11</v>
      </c>
      <c r="E19">
        <f t="shared" si="8"/>
        <v>229</v>
      </c>
      <c r="F19">
        <f t="shared" si="9"/>
        <v>286</v>
      </c>
      <c r="H19">
        <f t="shared" si="7"/>
        <v>290</v>
      </c>
      <c r="I19">
        <f t="shared" si="6"/>
        <v>302</v>
      </c>
      <c r="K19">
        <f t="shared" si="10"/>
        <v>303</v>
      </c>
      <c r="L19">
        <f t="shared" si="11"/>
        <v>314</v>
      </c>
    </row>
    <row r="20" spans="1:12" x14ac:dyDescent="0.15">
      <c r="A20" s="40" t="s">
        <v>119</v>
      </c>
      <c r="B20">
        <v>11</v>
      </c>
      <c r="C20">
        <v>11</v>
      </c>
      <c r="D20">
        <v>7</v>
      </c>
      <c r="E20">
        <f t="shared" si="8"/>
        <v>286</v>
      </c>
      <c r="F20">
        <f t="shared" si="9"/>
        <v>297</v>
      </c>
      <c r="H20">
        <f t="shared" si="7"/>
        <v>302</v>
      </c>
      <c r="I20">
        <f t="shared" si="6"/>
        <v>313</v>
      </c>
      <c r="K20">
        <f t="shared" si="10"/>
        <v>314</v>
      </c>
      <c r="L20">
        <f t="shared" si="11"/>
        <v>321</v>
      </c>
    </row>
    <row r="21" spans="1:12" x14ac:dyDescent="0.15">
      <c r="A21" s="40" t="s">
        <v>117</v>
      </c>
      <c r="B21">
        <v>15</v>
      </c>
      <c r="C21">
        <v>2</v>
      </c>
      <c r="D21">
        <v>6</v>
      </c>
      <c r="E21">
        <f t="shared" si="8"/>
        <v>297</v>
      </c>
      <c r="F21">
        <f t="shared" si="9"/>
        <v>312</v>
      </c>
      <c r="H21">
        <f t="shared" si="7"/>
        <v>313</v>
      </c>
      <c r="I21">
        <f t="shared" si="6"/>
        <v>315</v>
      </c>
      <c r="K21">
        <f t="shared" si="10"/>
        <v>321</v>
      </c>
      <c r="L21">
        <f t="shared" si="11"/>
        <v>327</v>
      </c>
    </row>
    <row r="24" spans="1:12" x14ac:dyDescent="0.15">
      <c r="A24" s="114" t="s">
        <v>90</v>
      </c>
      <c r="B24" s="114">
        <v>1</v>
      </c>
      <c r="C24" s="114">
        <v>2</v>
      </c>
      <c r="D24" s="114">
        <v>3</v>
      </c>
      <c r="E24" s="114" t="s">
        <v>91</v>
      </c>
      <c r="F24" s="114" t="s">
        <v>92</v>
      </c>
      <c r="G24" s="114"/>
      <c r="H24" s="114" t="s">
        <v>93</v>
      </c>
      <c r="I24" s="114" t="s">
        <v>94</v>
      </c>
      <c r="J24" s="114"/>
      <c r="K24" s="114" t="s">
        <v>95</v>
      </c>
      <c r="L24" s="114" t="s">
        <v>96</v>
      </c>
    </row>
    <row r="25" spans="1:12" x14ac:dyDescent="0.15">
      <c r="A25" s="114" t="s">
        <v>122</v>
      </c>
      <c r="B25" s="114">
        <v>7</v>
      </c>
      <c r="C25" s="114">
        <v>3</v>
      </c>
      <c r="D25" s="114">
        <v>21</v>
      </c>
      <c r="E25" s="114">
        <v>0</v>
      </c>
      <c r="F25" s="114">
        <f>E25+B25</f>
        <v>7</v>
      </c>
      <c r="G25" s="114"/>
      <c r="H25" s="114">
        <f>F25</f>
        <v>7</v>
      </c>
      <c r="I25" s="114">
        <f t="shared" ref="I25:I32" si="12">H25+C25</f>
        <v>10</v>
      </c>
      <c r="J25" s="114"/>
      <c r="K25" s="114">
        <f>I25</f>
        <v>10</v>
      </c>
      <c r="L25" s="114">
        <f>K25+D25</f>
        <v>31</v>
      </c>
    </row>
    <row r="26" spans="1:12" x14ac:dyDescent="0.15">
      <c r="A26" s="114" t="s">
        <v>118</v>
      </c>
      <c r="B26" s="114">
        <v>112</v>
      </c>
      <c r="C26" s="114">
        <v>61</v>
      </c>
      <c r="D26" s="114">
        <v>13</v>
      </c>
      <c r="E26" s="114">
        <f>F25</f>
        <v>7</v>
      </c>
      <c r="F26" s="114">
        <f>E26+B26</f>
        <v>119</v>
      </c>
      <c r="G26" s="114"/>
      <c r="H26" s="114">
        <f t="shared" ref="H26:H32" si="13">IF(I25&gt;F26,I25,F26)</f>
        <v>119</v>
      </c>
      <c r="I26" s="114">
        <f t="shared" si="12"/>
        <v>180</v>
      </c>
      <c r="J26" s="114"/>
      <c r="K26" s="114">
        <f>IF(L25&gt;I26,L25,I26)</f>
        <v>180</v>
      </c>
      <c r="L26" s="114">
        <f>K26+D26</f>
        <v>193</v>
      </c>
    </row>
    <row r="27" spans="1:12" x14ac:dyDescent="0.15">
      <c r="A27" s="114" t="s">
        <v>123</v>
      </c>
      <c r="B27" s="114">
        <v>54</v>
      </c>
      <c r="C27" s="114">
        <v>43</v>
      </c>
      <c r="D27" s="114">
        <v>28</v>
      </c>
      <c r="E27" s="114">
        <f t="shared" ref="E27:E32" si="14">F26</f>
        <v>119</v>
      </c>
      <c r="F27" s="114">
        <f t="shared" ref="F27:F32" si="15">E27+B27</f>
        <v>173</v>
      </c>
      <c r="G27" s="114"/>
      <c r="H27" s="114">
        <f t="shared" si="13"/>
        <v>180</v>
      </c>
      <c r="I27" s="114">
        <f t="shared" si="12"/>
        <v>223</v>
      </c>
      <c r="J27" s="114"/>
      <c r="K27" s="114">
        <f t="shared" ref="K27:K32" si="16">IF(L26&gt;I27,L26,I27)</f>
        <v>223</v>
      </c>
      <c r="L27" s="114">
        <f t="shared" ref="L27:L32" si="17">K27+D27</f>
        <v>251</v>
      </c>
    </row>
    <row r="28" spans="1:12" x14ac:dyDescent="0.15">
      <c r="A28" s="114" t="s">
        <v>116</v>
      </c>
      <c r="B28" s="114">
        <v>22</v>
      </c>
      <c r="C28" s="114">
        <v>21</v>
      </c>
      <c r="D28" s="114">
        <v>17</v>
      </c>
      <c r="E28" s="114">
        <f t="shared" si="14"/>
        <v>173</v>
      </c>
      <c r="F28" s="114">
        <f t="shared" si="15"/>
        <v>195</v>
      </c>
      <c r="G28" s="114"/>
      <c r="H28" s="114">
        <f t="shared" si="13"/>
        <v>223</v>
      </c>
      <c r="I28" s="114">
        <f t="shared" si="12"/>
        <v>244</v>
      </c>
      <c r="J28" s="114"/>
      <c r="K28" s="114">
        <f t="shared" si="16"/>
        <v>251</v>
      </c>
      <c r="L28" s="114">
        <f t="shared" si="17"/>
        <v>268</v>
      </c>
    </row>
    <row r="29" spans="1:12" x14ac:dyDescent="0.15">
      <c r="A29" s="114" t="s">
        <v>120</v>
      </c>
      <c r="B29" s="114">
        <v>34</v>
      </c>
      <c r="C29" s="114">
        <v>10</v>
      </c>
      <c r="D29" s="114">
        <v>18</v>
      </c>
      <c r="E29" s="114">
        <f t="shared" si="14"/>
        <v>195</v>
      </c>
      <c r="F29" s="114">
        <f t="shared" si="15"/>
        <v>229</v>
      </c>
      <c r="G29" s="114"/>
      <c r="H29" s="114">
        <f t="shared" si="13"/>
        <v>244</v>
      </c>
      <c r="I29" s="114">
        <f t="shared" si="12"/>
        <v>254</v>
      </c>
      <c r="J29" s="114"/>
      <c r="K29" s="114">
        <f t="shared" si="16"/>
        <v>268</v>
      </c>
      <c r="L29" s="114">
        <f t="shared" si="17"/>
        <v>286</v>
      </c>
    </row>
    <row r="30" spans="1:12" x14ac:dyDescent="0.15">
      <c r="A30" s="114" t="s">
        <v>121</v>
      </c>
      <c r="B30" s="114">
        <v>57</v>
      </c>
      <c r="C30" s="114">
        <v>12</v>
      </c>
      <c r="D30" s="114">
        <v>11</v>
      </c>
      <c r="E30" s="114">
        <f t="shared" si="14"/>
        <v>229</v>
      </c>
      <c r="F30" s="114">
        <f t="shared" si="15"/>
        <v>286</v>
      </c>
      <c r="G30" s="114"/>
      <c r="H30" s="114">
        <f t="shared" si="13"/>
        <v>286</v>
      </c>
      <c r="I30" s="114">
        <f t="shared" si="12"/>
        <v>298</v>
      </c>
      <c r="J30" s="114"/>
      <c r="K30" s="114">
        <f t="shared" si="16"/>
        <v>298</v>
      </c>
      <c r="L30" s="114">
        <f t="shared" si="17"/>
        <v>309</v>
      </c>
    </row>
    <row r="31" spans="1:12" x14ac:dyDescent="0.15">
      <c r="A31" s="114" t="s">
        <v>119</v>
      </c>
      <c r="B31" s="114">
        <v>11</v>
      </c>
      <c r="C31" s="114">
        <v>11</v>
      </c>
      <c r="D31" s="114">
        <v>7</v>
      </c>
      <c r="E31" s="114">
        <f t="shared" si="14"/>
        <v>286</v>
      </c>
      <c r="F31" s="114">
        <f t="shared" si="15"/>
        <v>297</v>
      </c>
      <c r="G31" s="114"/>
      <c r="H31" s="114">
        <f t="shared" si="13"/>
        <v>298</v>
      </c>
      <c r="I31" s="114">
        <f t="shared" si="12"/>
        <v>309</v>
      </c>
      <c r="J31" s="114"/>
      <c r="K31" s="114">
        <f t="shared" si="16"/>
        <v>309</v>
      </c>
      <c r="L31" s="114">
        <f t="shared" si="17"/>
        <v>316</v>
      </c>
    </row>
    <row r="32" spans="1:12" x14ac:dyDescent="0.15">
      <c r="A32" s="114" t="s">
        <v>117</v>
      </c>
      <c r="B32" s="114">
        <v>15</v>
      </c>
      <c r="C32" s="114">
        <v>2</v>
      </c>
      <c r="D32" s="114">
        <v>6</v>
      </c>
      <c r="E32" s="114">
        <f t="shared" si="14"/>
        <v>297</v>
      </c>
      <c r="F32" s="114">
        <f t="shared" si="15"/>
        <v>312</v>
      </c>
      <c r="G32" s="114"/>
      <c r="H32" s="114">
        <f t="shared" si="13"/>
        <v>312</v>
      </c>
      <c r="I32" s="114">
        <f t="shared" si="12"/>
        <v>314</v>
      </c>
      <c r="J32" s="114"/>
      <c r="K32" s="114">
        <f t="shared" si="16"/>
        <v>316</v>
      </c>
      <c r="L32" s="116">
        <f t="shared" si="17"/>
        <v>322</v>
      </c>
    </row>
    <row r="34" spans="1:25" ht="23" x14ac:dyDescent="0.25">
      <c r="A34" s="122" t="s">
        <v>169</v>
      </c>
    </row>
    <row r="42" spans="1:25" x14ac:dyDescent="0.15">
      <c r="B42">
        <f t="shared" ref="B42:C49" si="18">B3+C3</f>
        <v>43</v>
      </c>
      <c r="C42">
        <f t="shared" si="18"/>
        <v>38</v>
      </c>
    </row>
    <row r="43" spans="1:25" x14ac:dyDescent="0.15">
      <c r="B43">
        <f t="shared" si="18"/>
        <v>17</v>
      </c>
      <c r="C43">
        <f t="shared" si="18"/>
        <v>8</v>
      </c>
      <c r="E43" t="s">
        <v>90</v>
      </c>
      <c r="F43" t="s">
        <v>105</v>
      </c>
      <c r="H43" t="s">
        <v>90</v>
      </c>
      <c r="I43" t="s">
        <v>106</v>
      </c>
      <c r="K43" t="s">
        <v>90</v>
      </c>
      <c r="L43" t="s">
        <v>107</v>
      </c>
      <c r="Y43" s="55">
        <v>1600000000000</v>
      </c>
    </row>
    <row r="44" spans="1:25" x14ac:dyDescent="0.15">
      <c r="B44">
        <f t="shared" si="18"/>
        <v>173</v>
      </c>
      <c r="C44">
        <f t="shared" si="18"/>
        <v>74</v>
      </c>
      <c r="E44" t="s">
        <v>97</v>
      </c>
      <c r="F44">
        <v>1</v>
      </c>
      <c r="H44" t="s">
        <v>108</v>
      </c>
      <c r="I44" s="104">
        <v>1</v>
      </c>
      <c r="J44" s="104"/>
      <c r="K44" t="s">
        <v>108</v>
      </c>
      <c r="L44">
        <v>2</v>
      </c>
      <c r="Y44" s="55">
        <f>Y43/10</f>
        <v>160000000000</v>
      </c>
    </row>
    <row r="45" spans="1:25" x14ac:dyDescent="0.15">
      <c r="B45">
        <f t="shared" si="18"/>
        <v>22</v>
      </c>
      <c r="C45">
        <f t="shared" si="18"/>
        <v>18</v>
      </c>
      <c r="E45" t="s">
        <v>98</v>
      </c>
      <c r="F45">
        <v>2</v>
      </c>
      <c r="H45" t="s">
        <v>97</v>
      </c>
      <c r="I45" s="104">
        <v>1</v>
      </c>
      <c r="J45" s="104"/>
      <c r="K45" t="s">
        <v>97</v>
      </c>
      <c r="L45">
        <v>7</v>
      </c>
    </row>
    <row r="46" spans="1:25" x14ac:dyDescent="0.15">
      <c r="B46">
        <f t="shared" si="18"/>
        <v>44</v>
      </c>
      <c r="C46">
        <f t="shared" si="18"/>
        <v>28</v>
      </c>
      <c r="E46" t="s">
        <v>99</v>
      </c>
      <c r="F46">
        <v>3</v>
      </c>
      <c r="H46" t="s">
        <v>109</v>
      </c>
      <c r="I46" s="104">
        <v>1</v>
      </c>
      <c r="J46" s="104"/>
      <c r="K46" t="s">
        <v>98</v>
      </c>
      <c r="L46">
        <v>7</v>
      </c>
    </row>
    <row r="47" spans="1:25" x14ac:dyDescent="0.15">
      <c r="B47">
        <f t="shared" si="18"/>
        <v>69</v>
      </c>
      <c r="C47">
        <f t="shared" si="18"/>
        <v>23</v>
      </c>
      <c r="E47" t="s">
        <v>100</v>
      </c>
      <c r="F47">
        <v>5</v>
      </c>
      <c r="H47" t="s">
        <v>98</v>
      </c>
      <c r="I47" s="104">
        <v>1</v>
      </c>
      <c r="J47" s="104"/>
      <c r="K47" t="s">
        <v>99</v>
      </c>
      <c r="L47">
        <v>8</v>
      </c>
    </row>
    <row r="48" spans="1:25" x14ac:dyDescent="0.15">
      <c r="B48">
        <f t="shared" si="18"/>
        <v>10</v>
      </c>
      <c r="C48">
        <f t="shared" si="18"/>
        <v>24</v>
      </c>
      <c r="E48" t="s">
        <v>101</v>
      </c>
      <c r="F48">
        <v>5</v>
      </c>
      <c r="H48" t="s">
        <v>110</v>
      </c>
      <c r="I48" s="104">
        <v>2</v>
      </c>
      <c r="J48" s="104"/>
      <c r="K48" t="s">
        <v>100</v>
      </c>
      <c r="L48">
        <v>6</v>
      </c>
    </row>
    <row r="49" spans="1:12" x14ac:dyDescent="0.15">
      <c r="B49">
        <f t="shared" si="18"/>
        <v>97</v>
      </c>
      <c r="C49">
        <f t="shared" si="18"/>
        <v>71</v>
      </c>
      <c r="E49" t="s">
        <v>102</v>
      </c>
      <c r="F49">
        <v>17</v>
      </c>
      <c r="H49" t="s">
        <v>99</v>
      </c>
      <c r="I49" s="104">
        <v>1</v>
      </c>
      <c r="J49" s="104"/>
      <c r="K49" t="s">
        <v>101</v>
      </c>
      <c r="L49">
        <v>23</v>
      </c>
    </row>
    <row r="50" spans="1:12" x14ac:dyDescent="0.15">
      <c r="E50" t="s">
        <v>103</v>
      </c>
      <c r="F50">
        <v>12</v>
      </c>
      <c r="H50" t="s">
        <v>111</v>
      </c>
      <c r="I50" s="104">
        <v>4</v>
      </c>
      <c r="J50" s="104"/>
      <c r="K50" t="s">
        <v>109</v>
      </c>
      <c r="L50">
        <v>5</v>
      </c>
    </row>
    <row r="51" spans="1:12" x14ac:dyDescent="0.15">
      <c r="E51" t="s">
        <v>104</v>
      </c>
      <c r="F51">
        <v>27</v>
      </c>
      <c r="H51" t="s">
        <v>100</v>
      </c>
      <c r="I51" s="104">
        <v>2.5</v>
      </c>
      <c r="J51" s="104"/>
      <c r="K51" t="s">
        <v>102</v>
      </c>
      <c r="L51">
        <v>10</v>
      </c>
    </row>
    <row r="52" spans="1:12" x14ac:dyDescent="0.15">
      <c r="E52" t="s">
        <v>108</v>
      </c>
      <c r="F52">
        <v>32</v>
      </c>
      <c r="H52" t="s">
        <v>112</v>
      </c>
      <c r="I52" s="104">
        <v>2.5</v>
      </c>
      <c r="J52" s="104"/>
      <c r="K52" t="s">
        <v>103</v>
      </c>
      <c r="L52">
        <v>3</v>
      </c>
    </row>
    <row r="53" spans="1:12" x14ac:dyDescent="0.15">
      <c r="H53" t="s">
        <v>101</v>
      </c>
      <c r="I53" s="104">
        <v>2.5</v>
      </c>
      <c r="J53" s="104"/>
      <c r="K53" t="s">
        <v>110</v>
      </c>
      <c r="L53">
        <v>31</v>
      </c>
    </row>
    <row r="54" spans="1:12" x14ac:dyDescent="0.15">
      <c r="H54" t="s">
        <v>113</v>
      </c>
      <c r="I54" s="104">
        <v>14.5</v>
      </c>
      <c r="J54" s="104"/>
      <c r="K54" t="s">
        <v>104</v>
      </c>
      <c r="L54">
        <v>2</v>
      </c>
    </row>
    <row r="55" spans="1:12" x14ac:dyDescent="0.15">
      <c r="H55" t="s">
        <v>102</v>
      </c>
      <c r="I55" s="104">
        <v>25</v>
      </c>
      <c r="J55" s="104"/>
    </row>
    <row r="56" spans="1:12" x14ac:dyDescent="0.15">
      <c r="H56" t="s">
        <v>103</v>
      </c>
      <c r="I56" s="104">
        <v>6</v>
      </c>
      <c r="J56" s="104"/>
    </row>
    <row r="57" spans="1:12" x14ac:dyDescent="0.15">
      <c r="H57" t="s">
        <v>114</v>
      </c>
      <c r="I57" s="104">
        <v>8</v>
      </c>
      <c r="J57" s="104"/>
    </row>
    <row r="58" spans="1:12" x14ac:dyDescent="0.15">
      <c r="H58" t="s">
        <v>104</v>
      </c>
      <c r="I58" s="104">
        <v>30</v>
      </c>
      <c r="J58" s="104"/>
    </row>
    <row r="59" spans="1:12" x14ac:dyDescent="0.15">
      <c r="H59" t="s">
        <v>115</v>
      </c>
      <c r="I59" s="104">
        <v>2</v>
      </c>
      <c r="J59" s="104"/>
    </row>
    <row r="64" spans="1:12" x14ac:dyDescent="0.15">
      <c r="A64" t="s">
        <v>90</v>
      </c>
      <c r="B64">
        <v>1</v>
      </c>
      <c r="C64">
        <v>2</v>
      </c>
      <c r="D64">
        <v>3</v>
      </c>
      <c r="E64" t="s">
        <v>91</v>
      </c>
      <c r="F64" t="s">
        <v>92</v>
      </c>
      <c r="H64" t="s">
        <v>93</v>
      </c>
      <c r="I64" t="s">
        <v>94</v>
      </c>
      <c r="K64" t="s">
        <v>95</v>
      </c>
      <c r="L64" t="s">
        <v>96</v>
      </c>
    </row>
    <row r="65" spans="1:13" x14ac:dyDescent="0.15">
      <c r="A65" t="s">
        <v>97</v>
      </c>
      <c r="B65">
        <v>1</v>
      </c>
      <c r="C65">
        <v>1</v>
      </c>
      <c r="D65">
        <v>7</v>
      </c>
      <c r="E65">
        <v>0</v>
      </c>
      <c r="F65">
        <f>E65+B65</f>
        <v>1</v>
      </c>
      <c r="G65">
        <f>E66-F65</f>
        <v>0</v>
      </c>
      <c r="H65">
        <f>F65</f>
        <v>1</v>
      </c>
      <c r="I65">
        <f t="shared" ref="I65:I72" si="19">H65+C65</f>
        <v>2</v>
      </c>
      <c r="J65">
        <f>H66-I65</f>
        <v>1</v>
      </c>
      <c r="K65">
        <f>I65</f>
        <v>2</v>
      </c>
      <c r="L65">
        <f>K65+D65</f>
        <v>9</v>
      </c>
      <c r="M65">
        <f>K66-L65</f>
        <v>0</v>
      </c>
    </row>
    <row r="66" spans="1:13" x14ac:dyDescent="0.15">
      <c r="A66" t="s">
        <v>98</v>
      </c>
      <c r="B66">
        <v>2</v>
      </c>
      <c r="C66">
        <v>1</v>
      </c>
      <c r="D66">
        <v>7</v>
      </c>
      <c r="E66">
        <f>F65</f>
        <v>1</v>
      </c>
      <c r="F66">
        <f>E66+B66</f>
        <v>3</v>
      </c>
      <c r="G66">
        <f t="shared" ref="G66:G71" si="20">E67-F66</f>
        <v>0</v>
      </c>
      <c r="H66">
        <f t="shared" ref="H66:H72" si="21">IF(I65&gt;F66,I65,F66)</f>
        <v>3</v>
      </c>
      <c r="I66">
        <f t="shared" si="19"/>
        <v>4</v>
      </c>
      <c r="J66">
        <f t="shared" ref="J66:J71" si="22">H67-I66</f>
        <v>2</v>
      </c>
      <c r="K66">
        <f>IF(L65&gt;I66,L65,I66)</f>
        <v>9</v>
      </c>
      <c r="L66">
        <f>K66+D66</f>
        <v>16</v>
      </c>
      <c r="M66">
        <f t="shared" ref="M66:M71" si="23">K67-L66</f>
        <v>0</v>
      </c>
    </row>
    <row r="67" spans="1:13" x14ac:dyDescent="0.15">
      <c r="A67" t="s">
        <v>99</v>
      </c>
      <c r="B67">
        <v>3</v>
      </c>
      <c r="C67">
        <v>1</v>
      </c>
      <c r="D67">
        <v>8</v>
      </c>
      <c r="E67">
        <f t="shared" ref="E67:E72" si="24">F66</f>
        <v>3</v>
      </c>
      <c r="F67">
        <f t="shared" ref="F67:F72" si="25">E67+B67</f>
        <v>6</v>
      </c>
      <c r="G67">
        <f t="shared" si="20"/>
        <v>0</v>
      </c>
      <c r="H67">
        <f t="shared" si="21"/>
        <v>6</v>
      </c>
      <c r="I67">
        <f t="shared" si="19"/>
        <v>7</v>
      </c>
      <c r="J67">
        <f t="shared" si="22"/>
        <v>4</v>
      </c>
      <c r="K67">
        <f t="shared" ref="K67:K72" si="26">IF(L66&gt;I67,L66,I67)</f>
        <v>16</v>
      </c>
      <c r="L67">
        <f t="shared" ref="L67:L72" si="27">K67+D67</f>
        <v>24</v>
      </c>
      <c r="M67">
        <f t="shared" si="23"/>
        <v>0</v>
      </c>
    </row>
    <row r="68" spans="1:13" x14ac:dyDescent="0.15">
      <c r="A68" t="s">
        <v>100</v>
      </c>
      <c r="B68">
        <v>5</v>
      </c>
      <c r="C68">
        <v>2.5</v>
      </c>
      <c r="D68">
        <v>6</v>
      </c>
      <c r="E68">
        <f t="shared" si="24"/>
        <v>6</v>
      </c>
      <c r="F68">
        <f t="shared" si="25"/>
        <v>11</v>
      </c>
      <c r="G68">
        <f t="shared" si="20"/>
        <v>0</v>
      </c>
      <c r="H68">
        <f t="shared" si="21"/>
        <v>11</v>
      </c>
      <c r="I68">
        <f t="shared" si="19"/>
        <v>13.5</v>
      </c>
      <c r="J68">
        <f t="shared" si="22"/>
        <v>2.5</v>
      </c>
      <c r="K68">
        <f t="shared" si="26"/>
        <v>24</v>
      </c>
      <c r="L68">
        <f t="shared" si="27"/>
        <v>30</v>
      </c>
      <c r="M68">
        <f t="shared" si="23"/>
        <v>0</v>
      </c>
    </row>
    <row r="69" spans="1:13" x14ac:dyDescent="0.15">
      <c r="A69" t="s">
        <v>101</v>
      </c>
      <c r="B69">
        <v>5</v>
      </c>
      <c r="C69">
        <v>2.5</v>
      </c>
      <c r="D69">
        <v>23</v>
      </c>
      <c r="E69">
        <f t="shared" si="24"/>
        <v>11</v>
      </c>
      <c r="F69">
        <f t="shared" si="25"/>
        <v>16</v>
      </c>
      <c r="G69">
        <f t="shared" si="20"/>
        <v>0</v>
      </c>
      <c r="H69">
        <f t="shared" si="21"/>
        <v>16</v>
      </c>
      <c r="I69">
        <f t="shared" si="19"/>
        <v>18.5</v>
      </c>
      <c r="J69">
        <f t="shared" si="22"/>
        <v>14.5</v>
      </c>
      <c r="K69">
        <f t="shared" si="26"/>
        <v>30</v>
      </c>
      <c r="L69">
        <f t="shared" si="27"/>
        <v>53</v>
      </c>
      <c r="M69">
        <f t="shared" si="23"/>
        <v>5</v>
      </c>
    </row>
    <row r="70" spans="1:13" x14ac:dyDescent="0.15">
      <c r="A70" t="s">
        <v>102</v>
      </c>
      <c r="B70">
        <v>17</v>
      </c>
      <c r="C70">
        <v>25</v>
      </c>
      <c r="D70">
        <v>10</v>
      </c>
      <c r="E70">
        <f t="shared" si="24"/>
        <v>16</v>
      </c>
      <c r="F70">
        <f t="shared" si="25"/>
        <v>33</v>
      </c>
      <c r="G70">
        <f t="shared" si="20"/>
        <v>0</v>
      </c>
      <c r="H70">
        <f t="shared" si="21"/>
        <v>33</v>
      </c>
      <c r="I70">
        <f t="shared" si="19"/>
        <v>58</v>
      </c>
      <c r="J70">
        <f t="shared" si="22"/>
        <v>0</v>
      </c>
      <c r="K70">
        <f t="shared" si="26"/>
        <v>58</v>
      </c>
      <c r="L70">
        <f t="shared" si="27"/>
        <v>68</v>
      </c>
      <c r="M70">
        <f t="shared" si="23"/>
        <v>0</v>
      </c>
    </row>
    <row r="71" spans="1:13" x14ac:dyDescent="0.15">
      <c r="A71" t="s">
        <v>103</v>
      </c>
      <c r="B71">
        <v>12</v>
      </c>
      <c r="C71">
        <v>6</v>
      </c>
      <c r="D71">
        <v>3</v>
      </c>
      <c r="E71">
        <f t="shared" si="24"/>
        <v>33</v>
      </c>
      <c r="F71">
        <f t="shared" si="25"/>
        <v>45</v>
      </c>
      <c r="G71">
        <f t="shared" si="20"/>
        <v>0</v>
      </c>
      <c r="H71">
        <f t="shared" si="21"/>
        <v>58</v>
      </c>
      <c r="I71">
        <f t="shared" si="19"/>
        <v>64</v>
      </c>
      <c r="J71">
        <f t="shared" si="22"/>
        <v>8</v>
      </c>
      <c r="K71">
        <f t="shared" si="26"/>
        <v>68</v>
      </c>
      <c r="L71">
        <f t="shared" si="27"/>
        <v>71</v>
      </c>
      <c r="M71">
        <f t="shared" si="23"/>
        <v>31</v>
      </c>
    </row>
    <row r="72" spans="1:13" x14ac:dyDescent="0.15">
      <c r="A72" t="s">
        <v>104</v>
      </c>
      <c r="B72">
        <v>27</v>
      </c>
      <c r="C72">
        <v>30</v>
      </c>
      <c r="D72">
        <v>2</v>
      </c>
      <c r="E72">
        <f t="shared" si="24"/>
        <v>45</v>
      </c>
      <c r="F72">
        <f t="shared" si="25"/>
        <v>72</v>
      </c>
      <c r="H72">
        <f t="shared" si="21"/>
        <v>72</v>
      </c>
      <c r="I72">
        <f t="shared" si="19"/>
        <v>102</v>
      </c>
      <c r="K72">
        <f t="shared" si="26"/>
        <v>102</v>
      </c>
      <c r="L72">
        <f t="shared" si="27"/>
        <v>104</v>
      </c>
    </row>
    <row r="73" spans="1:13" x14ac:dyDescent="0.15">
      <c r="G73">
        <f>SUM(G65:G72)</f>
        <v>0</v>
      </c>
      <c r="J73">
        <f>SUM(J65:J72)</f>
        <v>32</v>
      </c>
      <c r="M73">
        <f>SUM(M65:M72)</f>
        <v>36</v>
      </c>
    </row>
    <row r="75" spans="1:13" x14ac:dyDescent="0.15">
      <c r="A75" t="s">
        <v>90</v>
      </c>
      <c r="B75">
        <v>1</v>
      </c>
      <c r="C75">
        <v>2</v>
      </c>
      <c r="D75">
        <v>3</v>
      </c>
      <c r="E75" t="s">
        <v>91</v>
      </c>
      <c r="F75" t="s">
        <v>92</v>
      </c>
      <c r="H75" t="s">
        <v>93</v>
      </c>
      <c r="I75" t="s">
        <v>94</v>
      </c>
      <c r="K75" t="s">
        <v>95</v>
      </c>
      <c r="L75" t="s">
        <v>96</v>
      </c>
    </row>
    <row r="76" spans="1:13" x14ac:dyDescent="0.15">
      <c r="A76" t="s">
        <v>97</v>
      </c>
      <c r="B76">
        <v>1</v>
      </c>
      <c r="C76">
        <v>1</v>
      </c>
      <c r="D76">
        <v>7</v>
      </c>
      <c r="E76">
        <v>0</v>
      </c>
      <c r="F76">
        <f>E76+B76</f>
        <v>1</v>
      </c>
      <c r="G76">
        <f>E77-F76</f>
        <v>0</v>
      </c>
      <c r="H76">
        <f>F76</f>
        <v>1</v>
      </c>
      <c r="I76">
        <f t="shared" ref="I76:I83" si="28">H76+C76</f>
        <v>2</v>
      </c>
      <c r="J76">
        <f>H77-I76</f>
        <v>1</v>
      </c>
      <c r="K76">
        <f>I76</f>
        <v>2</v>
      </c>
      <c r="L76">
        <f>K76+D76</f>
        <v>9</v>
      </c>
      <c r="M76">
        <f>K77-L76</f>
        <v>0</v>
      </c>
    </row>
    <row r="77" spans="1:13" x14ac:dyDescent="0.15">
      <c r="A77" t="s">
        <v>98</v>
      </c>
      <c r="B77">
        <v>2</v>
      </c>
      <c r="C77">
        <v>1</v>
      </c>
      <c r="D77">
        <v>7</v>
      </c>
      <c r="E77">
        <f>F76</f>
        <v>1</v>
      </c>
      <c r="F77">
        <f>E77+B77</f>
        <v>3</v>
      </c>
      <c r="G77">
        <f t="shared" ref="G77:G82" si="29">E78-F77</f>
        <v>0</v>
      </c>
      <c r="H77">
        <f t="shared" ref="H77:H83" si="30">IF(I76&gt;F77,I76,F77)</f>
        <v>3</v>
      </c>
      <c r="I77">
        <f t="shared" si="28"/>
        <v>4</v>
      </c>
      <c r="J77">
        <f t="shared" ref="J77:J82" si="31">H78-I77</f>
        <v>2</v>
      </c>
      <c r="K77">
        <f>IF(L76&gt;I77,L76,I77)</f>
        <v>9</v>
      </c>
      <c r="L77">
        <f>K77+D77</f>
        <v>16</v>
      </c>
      <c r="M77">
        <f t="shared" ref="M77:M82" si="32">K78-L77</f>
        <v>0</v>
      </c>
    </row>
    <row r="78" spans="1:13" x14ac:dyDescent="0.15">
      <c r="A78" t="s">
        <v>99</v>
      </c>
      <c r="B78">
        <v>3</v>
      </c>
      <c r="C78">
        <v>1</v>
      </c>
      <c r="D78">
        <v>8</v>
      </c>
      <c r="E78">
        <f t="shared" ref="E78:E83" si="33">F77</f>
        <v>3</v>
      </c>
      <c r="F78">
        <f t="shared" ref="F78:F83" si="34">E78+B78</f>
        <v>6</v>
      </c>
      <c r="G78">
        <f t="shared" si="29"/>
        <v>0</v>
      </c>
      <c r="H78">
        <f t="shared" si="30"/>
        <v>6</v>
      </c>
      <c r="I78">
        <f t="shared" si="28"/>
        <v>7</v>
      </c>
      <c r="J78">
        <f t="shared" si="31"/>
        <v>4</v>
      </c>
      <c r="K78">
        <f t="shared" ref="K78:K83" si="35">IF(L77&gt;I78,L77,I78)</f>
        <v>16</v>
      </c>
      <c r="L78">
        <f t="shared" ref="L78:L83" si="36">K78+D78</f>
        <v>24</v>
      </c>
      <c r="M78">
        <f t="shared" si="32"/>
        <v>0</v>
      </c>
    </row>
    <row r="79" spans="1:13" x14ac:dyDescent="0.15">
      <c r="A79" t="s">
        <v>100</v>
      </c>
      <c r="B79">
        <v>5</v>
      </c>
      <c r="C79">
        <v>2.5</v>
      </c>
      <c r="D79">
        <v>6</v>
      </c>
      <c r="E79">
        <f t="shared" si="33"/>
        <v>6</v>
      </c>
      <c r="F79">
        <f t="shared" si="34"/>
        <v>11</v>
      </c>
      <c r="G79">
        <f t="shared" si="29"/>
        <v>0</v>
      </c>
      <c r="H79">
        <f t="shared" si="30"/>
        <v>11</v>
      </c>
      <c r="I79">
        <f t="shared" si="28"/>
        <v>13.5</v>
      </c>
      <c r="J79">
        <f t="shared" si="31"/>
        <v>2.5</v>
      </c>
      <c r="K79">
        <f t="shared" si="35"/>
        <v>24</v>
      </c>
      <c r="L79">
        <f t="shared" si="36"/>
        <v>30</v>
      </c>
      <c r="M79">
        <f t="shared" si="32"/>
        <v>0</v>
      </c>
    </row>
    <row r="80" spans="1:13" x14ac:dyDescent="0.15">
      <c r="A80" t="s">
        <v>101</v>
      </c>
      <c r="B80">
        <v>5</v>
      </c>
      <c r="C80">
        <v>2.5</v>
      </c>
      <c r="D80">
        <v>23</v>
      </c>
      <c r="E80">
        <f t="shared" si="33"/>
        <v>11</v>
      </c>
      <c r="F80">
        <f t="shared" si="34"/>
        <v>16</v>
      </c>
      <c r="G80">
        <f t="shared" si="29"/>
        <v>0</v>
      </c>
      <c r="H80">
        <f t="shared" si="30"/>
        <v>16</v>
      </c>
      <c r="I80">
        <f t="shared" si="28"/>
        <v>18.5</v>
      </c>
      <c r="J80">
        <f t="shared" si="31"/>
        <v>14.5</v>
      </c>
      <c r="K80">
        <f t="shared" si="35"/>
        <v>30</v>
      </c>
      <c r="L80">
        <f t="shared" si="36"/>
        <v>53</v>
      </c>
      <c r="M80">
        <f t="shared" si="32"/>
        <v>5</v>
      </c>
    </row>
    <row r="81" spans="1:13" x14ac:dyDescent="0.15">
      <c r="A81" t="s">
        <v>102</v>
      </c>
      <c r="B81">
        <v>17</v>
      </c>
      <c r="C81">
        <v>25</v>
      </c>
      <c r="D81">
        <v>10</v>
      </c>
      <c r="E81">
        <f t="shared" si="33"/>
        <v>16</v>
      </c>
      <c r="F81">
        <f t="shared" si="34"/>
        <v>33</v>
      </c>
      <c r="G81">
        <f t="shared" si="29"/>
        <v>0</v>
      </c>
      <c r="H81">
        <f t="shared" si="30"/>
        <v>33</v>
      </c>
      <c r="I81">
        <f t="shared" si="28"/>
        <v>58</v>
      </c>
      <c r="J81">
        <f t="shared" si="31"/>
        <v>2</v>
      </c>
      <c r="K81">
        <f t="shared" si="35"/>
        <v>58</v>
      </c>
      <c r="L81">
        <f t="shared" si="36"/>
        <v>68</v>
      </c>
      <c r="M81">
        <f t="shared" si="32"/>
        <v>22</v>
      </c>
    </row>
    <row r="82" spans="1:13" x14ac:dyDescent="0.15">
      <c r="A82" t="s">
        <v>104</v>
      </c>
      <c r="B82">
        <v>27</v>
      </c>
      <c r="C82">
        <v>30</v>
      </c>
      <c r="D82">
        <v>2</v>
      </c>
      <c r="E82">
        <f t="shared" si="33"/>
        <v>33</v>
      </c>
      <c r="F82">
        <f t="shared" si="34"/>
        <v>60</v>
      </c>
      <c r="G82">
        <f t="shared" si="29"/>
        <v>0</v>
      </c>
      <c r="H82">
        <f t="shared" si="30"/>
        <v>60</v>
      </c>
      <c r="I82">
        <f t="shared" si="28"/>
        <v>90</v>
      </c>
      <c r="J82">
        <f t="shared" si="31"/>
        <v>0</v>
      </c>
      <c r="K82">
        <f t="shared" si="35"/>
        <v>90</v>
      </c>
      <c r="L82">
        <f t="shared" si="36"/>
        <v>92</v>
      </c>
      <c r="M82">
        <f t="shared" si="32"/>
        <v>4</v>
      </c>
    </row>
    <row r="83" spans="1:13" x14ac:dyDescent="0.15">
      <c r="A83" t="s">
        <v>103</v>
      </c>
      <c r="B83">
        <v>12</v>
      </c>
      <c r="C83">
        <v>6</v>
      </c>
      <c r="D83">
        <v>3</v>
      </c>
      <c r="E83">
        <f t="shared" si="33"/>
        <v>60</v>
      </c>
      <c r="F83">
        <f t="shared" si="34"/>
        <v>72</v>
      </c>
      <c r="H83">
        <f t="shared" si="30"/>
        <v>90</v>
      </c>
      <c r="I83">
        <f t="shared" si="28"/>
        <v>96</v>
      </c>
      <c r="K83">
        <f t="shared" si="35"/>
        <v>96</v>
      </c>
      <c r="L83">
        <f t="shared" si="36"/>
        <v>99</v>
      </c>
    </row>
    <row r="84" spans="1:13" x14ac:dyDescent="0.15">
      <c r="G84">
        <f>SUM(G76:G83)</f>
        <v>0</v>
      </c>
      <c r="J84">
        <f>SUM(J76:J83)</f>
        <v>26</v>
      </c>
      <c r="M84">
        <f>SUM(M76:M83)</f>
        <v>31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31"/>
  <sheetViews>
    <sheetView topLeftCell="A41" zoomScale="90" zoomScaleNormal="90" workbookViewId="0">
      <selection activeCell="G16" sqref="G16"/>
    </sheetView>
  </sheetViews>
  <sheetFormatPr baseColWidth="10" defaultColWidth="12" defaultRowHeight="13" x14ac:dyDescent="0.15"/>
  <cols>
    <col min="1" max="1" width="11.796875" customWidth="1"/>
    <col min="2" max="4" width="7.19921875" customWidth="1"/>
    <col min="5" max="6" width="8.3984375" customWidth="1"/>
    <col min="7" max="8" width="12.19921875" customWidth="1"/>
    <col min="9" max="9" width="9.3984375" customWidth="1"/>
    <col min="10" max="10" width="8" customWidth="1"/>
    <col min="11" max="11" width="11.796875" customWidth="1"/>
    <col min="12" max="12" width="7.59765625" customWidth="1"/>
    <col min="13" max="13" width="13.3984375" bestFit="1" customWidth="1"/>
    <col min="14" max="14" width="6" customWidth="1"/>
    <col min="15" max="15" width="12.19921875" customWidth="1"/>
  </cols>
  <sheetData>
    <row r="2" spans="1:14" x14ac:dyDescent="0.15">
      <c r="A2" t="s">
        <v>90</v>
      </c>
      <c r="B2">
        <v>1</v>
      </c>
      <c r="C2">
        <v>2</v>
      </c>
      <c r="D2">
        <v>3</v>
      </c>
      <c r="E2" t="s">
        <v>91</v>
      </c>
      <c r="F2" t="s">
        <v>92</v>
      </c>
      <c r="G2" t="s">
        <v>93</v>
      </c>
      <c r="H2" t="s">
        <v>94</v>
      </c>
      <c r="I2" s="105" t="s">
        <v>109</v>
      </c>
      <c r="J2" t="s">
        <v>95</v>
      </c>
      <c r="K2" t="s">
        <v>96</v>
      </c>
      <c r="L2" s="105" t="s">
        <v>110</v>
      </c>
    </row>
    <row r="3" spans="1:14" x14ac:dyDescent="0.15">
      <c r="A3" s="40" t="s">
        <v>122</v>
      </c>
      <c r="B3">
        <v>7</v>
      </c>
      <c r="C3">
        <v>3</v>
      </c>
      <c r="D3">
        <v>21</v>
      </c>
      <c r="E3">
        <v>0</v>
      </c>
      <c r="F3">
        <f>E3+B3</f>
        <v>7</v>
      </c>
      <c r="G3">
        <f>F3</f>
        <v>7</v>
      </c>
      <c r="H3">
        <f t="shared" ref="H3:H10" si="0">G3+C3</f>
        <v>10</v>
      </c>
      <c r="I3">
        <f>G4-H3</f>
        <v>109</v>
      </c>
      <c r="J3">
        <f>H3</f>
        <v>10</v>
      </c>
      <c r="K3">
        <f t="shared" ref="K3:K10" si="1">J3+D3</f>
        <v>31</v>
      </c>
      <c r="L3">
        <f>J4-K3</f>
        <v>149</v>
      </c>
    </row>
    <row r="4" spans="1:14" x14ac:dyDescent="0.15">
      <c r="A4" s="40" t="s">
        <v>118</v>
      </c>
      <c r="B4">
        <v>112</v>
      </c>
      <c r="C4">
        <v>61</v>
      </c>
      <c r="D4">
        <v>13</v>
      </c>
      <c r="E4">
        <f>F3</f>
        <v>7</v>
      </c>
      <c r="F4">
        <f>E4+B4</f>
        <v>119</v>
      </c>
      <c r="G4">
        <f t="shared" ref="G4:G10" si="2">IF(H3&gt;F4,H3,F4)</f>
        <v>119</v>
      </c>
      <c r="H4">
        <f t="shared" si="0"/>
        <v>180</v>
      </c>
      <c r="I4">
        <f t="shared" ref="I4:I9" si="3">G5-H4</f>
        <v>0</v>
      </c>
      <c r="J4">
        <f t="shared" ref="J4:J10" si="4">IF(K3&gt;H4,K3,H4)</f>
        <v>180</v>
      </c>
      <c r="K4">
        <f t="shared" si="1"/>
        <v>193</v>
      </c>
      <c r="L4">
        <f t="shared" ref="L4:L9" si="5">J5-K4</f>
        <v>30</v>
      </c>
    </row>
    <row r="5" spans="1:14" x14ac:dyDescent="0.15">
      <c r="A5" s="40" t="s">
        <v>123</v>
      </c>
      <c r="B5">
        <v>54</v>
      </c>
      <c r="C5">
        <v>43</v>
      </c>
      <c r="D5">
        <v>28</v>
      </c>
      <c r="E5">
        <f t="shared" ref="E5:E10" si="6">F4</f>
        <v>119</v>
      </c>
      <c r="F5">
        <f t="shared" ref="F5:F10" si="7">E5+B5</f>
        <v>173</v>
      </c>
      <c r="G5">
        <f t="shared" si="2"/>
        <v>180</v>
      </c>
      <c r="H5">
        <f t="shared" si="0"/>
        <v>223</v>
      </c>
      <c r="I5">
        <f t="shared" si="3"/>
        <v>0</v>
      </c>
      <c r="J5">
        <f t="shared" si="4"/>
        <v>223</v>
      </c>
      <c r="K5">
        <f t="shared" si="1"/>
        <v>251</v>
      </c>
      <c r="L5">
        <f t="shared" si="5"/>
        <v>0</v>
      </c>
    </row>
    <row r="6" spans="1:14" x14ac:dyDescent="0.15">
      <c r="A6" s="40" t="s">
        <v>116</v>
      </c>
      <c r="B6">
        <v>22</v>
      </c>
      <c r="C6">
        <v>21</v>
      </c>
      <c r="D6">
        <v>17</v>
      </c>
      <c r="E6">
        <f t="shared" si="6"/>
        <v>173</v>
      </c>
      <c r="F6">
        <f t="shared" si="7"/>
        <v>195</v>
      </c>
      <c r="G6">
        <f t="shared" si="2"/>
        <v>223</v>
      </c>
      <c r="H6">
        <f t="shared" si="0"/>
        <v>244</v>
      </c>
      <c r="I6">
        <f t="shared" si="3"/>
        <v>0</v>
      </c>
      <c r="J6">
        <f t="shared" si="4"/>
        <v>251</v>
      </c>
      <c r="K6">
        <f t="shared" si="1"/>
        <v>268</v>
      </c>
      <c r="L6">
        <f t="shared" si="5"/>
        <v>0</v>
      </c>
    </row>
    <row r="7" spans="1:14" x14ac:dyDescent="0.15">
      <c r="A7" s="40" t="s">
        <v>120</v>
      </c>
      <c r="B7">
        <v>34</v>
      </c>
      <c r="C7">
        <v>10</v>
      </c>
      <c r="D7">
        <v>18</v>
      </c>
      <c r="E7">
        <f t="shared" si="6"/>
        <v>195</v>
      </c>
      <c r="F7">
        <f t="shared" si="7"/>
        <v>229</v>
      </c>
      <c r="G7">
        <f t="shared" si="2"/>
        <v>244</v>
      </c>
      <c r="H7">
        <f t="shared" si="0"/>
        <v>254</v>
      </c>
      <c r="I7">
        <f t="shared" si="3"/>
        <v>32</v>
      </c>
      <c r="J7">
        <f t="shared" si="4"/>
        <v>268</v>
      </c>
      <c r="K7">
        <f t="shared" si="1"/>
        <v>286</v>
      </c>
      <c r="L7">
        <f t="shared" si="5"/>
        <v>12</v>
      </c>
    </row>
    <row r="8" spans="1:14" x14ac:dyDescent="0.15">
      <c r="A8" s="40" t="s">
        <v>121</v>
      </c>
      <c r="B8">
        <v>57</v>
      </c>
      <c r="C8">
        <v>12</v>
      </c>
      <c r="D8">
        <v>11</v>
      </c>
      <c r="E8">
        <f t="shared" si="6"/>
        <v>229</v>
      </c>
      <c r="F8">
        <f t="shared" si="7"/>
        <v>286</v>
      </c>
      <c r="G8">
        <f t="shared" si="2"/>
        <v>286</v>
      </c>
      <c r="H8">
        <f t="shared" si="0"/>
        <v>298</v>
      </c>
      <c r="I8">
        <f t="shared" si="3"/>
        <v>0</v>
      </c>
      <c r="J8">
        <f t="shared" si="4"/>
        <v>298</v>
      </c>
      <c r="K8">
        <f t="shared" si="1"/>
        <v>309</v>
      </c>
      <c r="L8">
        <f t="shared" si="5"/>
        <v>0</v>
      </c>
    </row>
    <row r="9" spans="1:14" x14ac:dyDescent="0.15">
      <c r="A9" s="40" t="s">
        <v>119</v>
      </c>
      <c r="B9">
        <v>11</v>
      </c>
      <c r="C9">
        <v>11</v>
      </c>
      <c r="D9">
        <v>7</v>
      </c>
      <c r="E9">
        <f t="shared" si="6"/>
        <v>286</v>
      </c>
      <c r="F9">
        <f t="shared" si="7"/>
        <v>297</v>
      </c>
      <c r="G9">
        <f t="shared" si="2"/>
        <v>298</v>
      </c>
      <c r="H9">
        <f t="shared" si="0"/>
        <v>309</v>
      </c>
      <c r="I9">
        <f t="shared" si="3"/>
        <v>3</v>
      </c>
      <c r="J9">
        <f t="shared" si="4"/>
        <v>309</v>
      </c>
      <c r="K9">
        <f t="shared" si="1"/>
        <v>316</v>
      </c>
      <c r="L9">
        <f t="shared" si="5"/>
        <v>0</v>
      </c>
    </row>
    <row r="10" spans="1:14" x14ac:dyDescent="0.15">
      <c r="A10" s="40" t="s">
        <v>117</v>
      </c>
      <c r="B10">
        <v>15</v>
      </c>
      <c r="C10">
        <v>2</v>
      </c>
      <c r="D10">
        <v>6</v>
      </c>
      <c r="E10">
        <f t="shared" si="6"/>
        <v>297</v>
      </c>
      <c r="F10">
        <f t="shared" si="7"/>
        <v>312</v>
      </c>
      <c r="G10">
        <f t="shared" si="2"/>
        <v>312</v>
      </c>
      <c r="H10">
        <f t="shared" si="0"/>
        <v>314</v>
      </c>
      <c r="I10">
        <f>K10-H10</f>
        <v>8</v>
      </c>
      <c r="J10">
        <f t="shared" si="4"/>
        <v>316</v>
      </c>
      <c r="K10">
        <f t="shared" si="1"/>
        <v>322</v>
      </c>
      <c r="L10">
        <f>0</f>
        <v>0</v>
      </c>
    </row>
    <row r="14" spans="1:14" x14ac:dyDescent="0.15">
      <c r="I14" t="s">
        <v>90</v>
      </c>
      <c r="J14" t="s">
        <v>105</v>
      </c>
      <c r="K14" t="s">
        <v>90</v>
      </c>
      <c r="L14" t="s">
        <v>106</v>
      </c>
      <c r="M14" t="s">
        <v>90</v>
      </c>
      <c r="N14" t="s">
        <v>107</v>
      </c>
    </row>
    <row r="15" spans="1:14" x14ac:dyDescent="0.15">
      <c r="I15" s="105" t="str">
        <f>A3</f>
        <v>JS</v>
      </c>
      <c r="J15">
        <f>B3</f>
        <v>7</v>
      </c>
      <c r="K15" s="105" t="s">
        <v>124</v>
      </c>
      <c r="L15" s="104">
        <f>G3-E3</f>
        <v>7</v>
      </c>
      <c r="M15" s="105" t="s">
        <v>125</v>
      </c>
      <c r="N15">
        <f>J3-E3</f>
        <v>10</v>
      </c>
    </row>
    <row r="16" spans="1:14" x14ac:dyDescent="0.15">
      <c r="I16" s="105" t="str">
        <f t="shared" ref="I16:J22" si="8">A4</f>
        <v>FB</v>
      </c>
      <c r="J16">
        <f t="shared" si="8"/>
        <v>112</v>
      </c>
      <c r="K16" t="str">
        <f>A3</f>
        <v>JS</v>
      </c>
      <c r="L16" s="104">
        <f>C3</f>
        <v>3</v>
      </c>
      <c r="M16" t="str">
        <f>A3</f>
        <v>JS</v>
      </c>
      <c r="N16">
        <f>D3</f>
        <v>21</v>
      </c>
    </row>
    <row r="17" spans="9:14" x14ac:dyDescent="0.15">
      <c r="I17" s="105" t="str">
        <f t="shared" si="8"/>
        <v>NS</v>
      </c>
      <c r="J17">
        <f t="shared" si="8"/>
        <v>54</v>
      </c>
      <c r="K17" s="105" t="s">
        <v>126</v>
      </c>
      <c r="L17" s="104">
        <f>I3</f>
        <v>109</v>
      </c>
      <c r="M17" s="40" t="s">
        <v>138</v>
      </c>
      <c r="N17">
        <f>L3</f>
        <v>149</v>
      </c>
    </row>
    <row r="18" spans="9:14" x14ac:dyDescent="0.15">
      <c r="I18" s="105" t="str">
        <f t="shared" si="8"/>
        <v>S24</v>
      </c>
      <c r="J18">
        <f t="shared" si="8"/>
        <v>22</v>
      </c>
      <c r="K18" s="105" t="str">
        <f>A4</f>
        <v>FB</v>
      </c>
      <c r="L18" s="104">
        <f>C4</f>
        <v>61</v>
      </c>
      <c r="M18" t="str">
        <f>A4</f>
        <v>FB</v>
      </c>
      <c r="N18">
        <f>D4</f>
        <v>13</v>
      </c>
    </row>
    <row r="19" spans="9:14" x14ac:dyDescent="0.15">
      <c r="I19" s="105" t="str">
        <f t="shared" si="8"/>
        <v>GS</v>
      </c>
      <c r="J19">
        <f t="shared" si="8"/>
        <v>34</v>
      </c>
      <c r="K19" s="105" t="s">
        <v>127</v>
      </c>
      <c r="L19" s="104">
        <f>I4</f>
        <v>0</v>
      </c>
      <c r="M19" s="40" t="s">
        <v>141</v>
      </c>
      <c r="N19">
        <f>L4</f>
        <v>30</v>
      </c>
    </row>
    <row r="20" spans="9:14" x14ac:dyDescent="0.15">
      <c r="I20" s="105" t="str">
        <f t="shared" si="8"/>
        <v>RR</v>
      </c>
      <c r="J20">
        <f t="shared" si="8"/>
        <v>57</v>
      </c>
      <c r="K20" s="105" t="str">
        <f>A5</f>
        <v>NS</v>
      </c>
      <c r="L20" s="104">
        <f>C5</f>
        <v>43</v>
      </c>
      <c r="M20" t="str">
        <f>A5</f>
        <v>NS</v>
      </c>
      <c r="N20">
        <f>D5</f>
        <v>28</v>
      </c>
    </row>
    <row r="21" spans="9:14" x14ac:dyDescent="0.15">
      <c r="I21" s="105" t="str">
        <f t="shared" si="8"/>
        <v>ED</v>
      </c>
      <c r="J21">
        <f t="shared" si="8"/>
        <v>11</v>
      </c>
      <c r="K21" s="105" t="s">
        <v>128</v>
      </c>
      <c r="L21" s="104">
        <f>I5</f>
        <v>0</v>
      </c>
      <c r="M21" s="40" t="s">
        <v>140</v>
      </c>
      <c r="N21">
        <f>L5</f>
        <v>0</v>
      </c>
    </row>
    <row r="22" spans="9:14" x14ac:dyDescent="0.15">
      <c r="I22" s="105" t="str">
        <f t="shared" si="8"/>
        <v>CD</v>
      </c>
      <c r="J22">
        <f t="shared" si="8"/>
        <v>15</v>
      </c>
      <c r="K22" t="str">
        <f>A6</f>
        <v>S24</v>
      </c>
      <c r="L22" s="104">
        <f>C6</f>
        <v>21</v>
      </c>
      <c r="M22" t="str">
        <f>A6</f>
        <v>S24</v>
      </c>
      <c r="N22">
        <f>D6</f>
        <v>17</v>
      </c>
    </row>
    <row r="23" spans="9:14" x14ac:dyDescent="0.15">
      <c r="I23" s="105" t="s">
        <v>130</v>
      </c>
      <c r="J23">
        <f>K10-F10</f>
        <v>10</v>
      </c>
      <c r="K23" s="105" t="s">
        <v>131</v>
      </c>
      <c r="L23" s="104">
        <f>I6</f>
        <v>0</v>
      </c>
      <c r="M23" s="40" t="s">
        <v>139</v>
      </c>
      <c r="N23">
        <f>L6</f>
        <v>0</v>
      </c>
    </row>
    <row r="24" spans="9:14" x14ac:dyDescent="0.15">
      <c r="K24" s="105" t="str">
        <f>A7</f>
        <v>GS</v>
      </c>
      <c r="L24" s="104">
        <f>C7</f>
        <v>10</v>
      </c>
      <c r="M24" t="str">
        <f>A7</f>
        <v>GS</v>
      </c>
      <c r="N24">
        <f>D7</f>
        <v>18</v>
      </c>
    </row>
    <row r="25" spans="9:14" x14ac:dyDescent="0.15">
      <c r="K25" s="105" t="s">
        <v>133</v>
      </c>
      <c r="L25" s="104">
        <f>I7</f>
        <v>32</v>
      </c>
      <c r="M25" s="105" t="s">
        <v>129</v>
      </c>
      <c r="N25">
        <f>L7</f>
        <v>12</v>
      </c>
    </row>
    <row r="26" spans="9:14" x14ac:dyDescent="0.15">
      <c r="K26" s="105" t="str">
        <f>A8</f>
        <v>RR</v>
      </c>
      <c r="L26" s="104">
        <f>C8</f>
        <v>12</v>
      </c>
      <c r="M26" t="str">
        <f>A8</f>
        <v>RR</v>
      </c>
      <c r="N26">
        <f>D8</f>
        <v>11</v>
      </c>
    </row>
    <row r="27" spans="9:14" x14ac:dyDescent="0.15">
      <c r="K27" s="105" t="s">
        <v>135</v>
      </c>
      <c r="L27" s="104">
        <f>I8</f>
        <v>0</v>
      </c>
      <c r="M27" s="105" t="s">
        <v>132</v>
      </c>
      <c r="N27">
        <f>L8</f>
        <v>0</v>
      </c>
    </row>
    <row r="28" spans="9:14" x14ac:dyDescent="0.15">
      <c r="K28" s="105" t="str">
        <f>A9</f>
        <v>ED</v>
      </c>
      <c r="L28" s="104">
        <f>C9</f>
        <v>11</v>
      </c>
      <c r="M28" t="str">
        <f>A9</f>
        <v>ED</v>
      </c>
      <c r="N28">
        <f>D9</f>
        <v>7</v>
      </c>
    </row>
    <row r="29" spans="9:14" x14ac:dyDescent="0.15">
      <c r="K29" s="40" t="s">
        <v>137</v>
      </c>
      <c r="L29">
        <f>I9</f>
        <v>3</v>
      </c>
      <c r="M29" s="106" t="s">
        <v>134</v>
      </c>
      <c r="N29">
        <f>L9</f>
        <v>0</v>
      </c>
    </row>
    <row r="30" spans="9:14" x14ac:dyDescent="0.15">
      <c r="K30" s="105" t="str">
        <f>A10</f>
        <v>CD</v>
      </c>
      <c r="L30" s="104">
        <f>C10</f>
        <v>2</v>
      </c>
      <c r="M30" t="str">
        <f>A10</f>
        <v>CD</v>
      </c>
      <c r="N30">
        <f>D10</f>
        <v>6</v>
      </c>
    </row>
    <row r="31" spans="9:14" x14ac:dyDescent="0.15">
      <c r="K31" s="105" t="s">
        <v>136</v>
      </c>
      <c r="L31" s="104">
        <f>I10</f>
        <v>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Forecast</vt:lpstr>
      <vt:lpstr>APP</vt:lpstr>
      <vt:lpstr>Final APP</vt:lpstr>
      <vt:lpstr>MPS</vt:lpstr>
      <vt:lpstr>MRP NW Grunge</vt:lpstr>
      <vt:lpstr>MRP Deep South</vt:lpstr>
      <vt:lpstr>Finance Report</vt:lpstr>
      <vt:lpstr>Johnson</vt:lpstr>
      <vt:lpstr>Johnson_Gantt</vt:lpstr>
      <vt:lpstr>'MRP NW Grunge'!Print_Area</vt:lpstr>
    </vt:vector>
  </TitlesOfParts>
  <Company>East Carolina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 Kros</dc:creator>
  <cp:lastModifiedBy>Kros, John</cp:lastModifiedBy>
  <cp:lastPrinted>2003-10-22T22:55:47Z</cp:lastPrinted>
  <dcterms:created xsi:type="dcterms:W3CDTF">2003-03-28T03:16:25Z</dcterms:created>
  <dcterms:modified xsi:type="dcterms:W3CDTF">2020-09-28T20:31:15Z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-513175424</vt:i4>
  </property>
  <property fmtid="{D5CDD505-2E9C-101B-9397-08002B2CF9AE}" pid="3" name="_EmailSubject">
    <vt:lpwstr>Iney Miny Miney Moe</vt:lpwstr>
  </property>
  <property fmtid="{D5CDD505-2E9C-101B-9397-08002B2CF9AE}" pid="4" name="_AuthorEmail">
    <vt:lpwstr>CSB0318@MAIL.ECU.EDU</vt:lpwstr>
  </property>
  <property fmtid="{D5CDD505-2E9C-101B-9397-08002B2CF9AE}" pid="5" name="_AuthorEmailDisplayName">
    <vt:lpwstr>Bass, Clayton Shane</vt:lpwstr>
  </property>
  <property fmtid="{D5CDD505-2E9C-101B-9397-08002B2CF9AE}" pid="6" name="_ReviewingToolsShownOnce">
    <vt:lpwstr/>
  </property>
</Properties>
</file>