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Volumes/NO NAME/"/>
    </mc:Choice>
  </mc:AlternateContent>
  <xr:revisionPtr revIDLastSave="0" documentId="13_ncr:1_{BD436A81-DDF8-5A4D-83AA-991057327C6E}" xr6:coauthVersionLast="45" xr6:coauthVersionMax="45" xr10:uidLastSave="{00000000-0000-0000-0000-000000000000}"/>
  <bookViews>
    <workbookView xWindow="0" yWindow="460" windowWidth="15360" windowHeight="14840" xr2:uid="{00000000-000D-0000-FFFF-FFFF00000000}"/>
  </bookViews>
  <sheets>
    <sheet name="Forecast" sheetId="2" r:id="rId1"/>
    <sheet name="APP" sheetId="3" r:id="rId2"/>
    <sheet name="MPS" sheetId="1" r:id="rId3"/>
  </sheets>
  <definedNames>
    <definedName name="solver_typ" localSheetId="2" hidden="1">2</definedName>
    <definedName name="solver_ver" localSheetId="2" hidde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2" l="1"/>
  <c r="E32" i="2"/>
  <c r="B3" i="1" l="1"/>
  <c r="E10" i="1" s="1"/>
  <c r="B4" i="1"/>
  <c r="H16" i="1" s="1"/>
  <c r="B5" i="1"/>
  <c r="K16" i="1" s="1"/>
  <c r="B2" i="1"/>
  <c r="B16" i="1" s="1"/>
  <c r="F5" i="3"/>
  <c r="F4" i="3"/>
  <c r="F3" i="3"/>
  <c r="F2" i="3"/>
  <c r="C37" i="3"/>
  <c r="E36" i="3"/>
  <c r="E35" i="3"/>
  <c r="E34" i="3"/>
  <c r="E33" i="3"/>
  <c r="J31" i="3"/>
  <c r="C31" i="3"/>
  <c r="J21" i="3"/>
  <c r="G21" i="3"/>
  <c r="G31" i="3" s="1"/>
  <c r="F21" i="3"/>
  <c r="F31" i="3" s="1"/>
  <c r="E21" i="3"/>
  <c r="E31" i="3" s="1"/>
  <c r="C21" i="3"/>
  <c r="F33" i="3" l="1"/>
  <c r="E16" i="1"/>
  <c r="K10" i="1"/>
  <c r="M13" i="1" s="1"/>
  <c r="I19" i="1"/>
  <c r="J19" i="1"/>
  <c r="H19" i="1"/>
  <c r="E13" i="1"/>
  <c r="G13" i="1"/>
  <c r="F13" i="1"/>
  <c r="C19" i="1"/>
  <c r="B19" i="1"/>
  <c r="D19" i="1"/>
  <c r="M19" i="1"/>
  <c r="K19" i="1"/>
  <c r="L19" i="1"/>
  <c r="K13" i="1"/>
  <c r="H10" i="1"/>
  <c r="B10" i="1"/>
  <c r="G19" i="1"/>
  <c r="G33" i="3"/>
  <c r="H33" i="3" s="1"/>
  <c r="L13" i="1" l="1"/>
  <c r="E19" i="1"/>
  <c r="F19" i="1"/>
  <c r="D13" i="1"/>
  <c r="C13" i="1"/>
  <c r="B13" i="1"/>
  <c r="I13" i="1"/>
  <c r="H13" i="1"/>
  <c r="J13" i="1"/>
  <c r="D33" i="3"/>
  <c r="F34" i="3"/>
  <c r="G34" i="3"/>
  <c r="G14" i="2"/>
  <c r="G7" i="2"/>
  <c r="H7" i="2" s="1"/>
  <c r="E14" i="2"/>
  <c r="B4" i="3" s="1"/>
  <c r="E13" i="2"/>
  <c r="E6" i="2"/>
  <c r="E7" i="2"/>
  <c r="E8" i="2"/>
  <c r="E9" i="2"/>
  <c r="E10" i="2"/>
  <c r="F10" i="2" s="1"/>
  <c r="E11" i="2"/>
  <c r="F11" i="2" s="1"/>
  <c r="E12" i="2"/>
  <c r="F12" i="2" s="1"/>
  <c r="F13" i="2"/>
  <c r="E5" i="2"/>
  <c r="F5" i="2" s="1"/>
  <c r="C14" i="2"/>
  <c r="G13" i="2"/>
  <c r="H13" i="2" s="1"/>
  <c r="C13" i="2"/>
  <c r="D13" i="2" s="1"/>
  <c r="G12" i="2"/>
  <c r="H12" i="2" s="1"/>
  <c r="C12" i="2"/>
  <c r="D12" i="2" s="1"/>
  <c r="G11" i="2"/>
  <c r="H11" i="2" s="1"/>
  <c r="C11" i="2"/>
  <c r="D11" i="2" s="1"/>
  <c r="G10" i="2"/>
  <c r="H10" i="2" s="1"/>
  <c r="C10" i="2"/>
  <c r="D10" i="2" s="1"/>
  <c r="G9" i="2"/>
  <c r="H9" i="2" s="1"/>
  <c r="F9" i="2"/>
  <c r="C9" i="2"/>
  <c r="D9" i="2" s="1"/>
  <c r="G8" i="2"/>
  <c r="H8" i="2" s="1"/>
  <c r="F8" i="2"/>
  <c r="C8" i="2"/>
  <c r="D8" i="2" s="1"/>
  <c r="F7" i="2"/>
  <c r="C7" i="2"/>
  <c r="D7" i="2" s="1"/>
  <c r="F6" i="2"/>
  <c r="C6" i="2"/>
  <c r="D6" i="2" s="1"/>
  <c r="C5" i="2"/>
  <c r="D5" i="2" s="1"/>
  <c r="C4" i="2"/>
  <c r="D4" i="2" s="1"/>
  <c r="C3" i="2"/>
  <c r="D3" i="2" s="1"/>
  <c r="E2" i="3" l="1"/>
  <c r="B13" i="3" s="1"/>
  <c r="E5" i="3"/>
  <c r="B16" i="3" s="1"/>
  <c r="B26" i="3" s="1"/>
  <c r="E4" i="3"/>
  <c r="B15" i="3" s="1"/>
  <c r="B25" i="3" s="1"/>
  <c r="E3" i="3"/>
  <c r="B14" i="3" s="1"/>
  <c r="B24" i="3" s="1"/>
  <c r="H34" i="3"/>
  <c r="F15" i="2"/>
  <c r="D15" i="2"/>
  <c r="H15" i="2"/>
  <c r="B34" i="3" l="1"/>
  <c r="C24" i="3"/>
  <c r="E24" i="3" s="1"/>
  <c r="B36" i="3"/>
  <c r="C26" i="3"/>
  <c r="E26" i="3" s="1"/>
  <c r="B35" i="3"/>
  <c r="C25" i="3"/>
  <c r="E25" i="3" s="1"/>
  <c r="B23" i="3"/>
  <c r="B17" i="3"/>
  <c r="D34" i="3"/>
  <c r="F35" i="3"/>
  <c r="G35" i="3"/>
  <c r="B33" i="3" l="1"/>
  <c r="I33" i="3" s="1"/>
  <c r="C23" i="3"/>
  <c r="C16" i="3"/>
  <c r="E16" i="3" s="1"/>
  <c r="C13" i="3"/>
  <c r="C14" i="3"/>
  <c r="E14" i="3" s="1"/>
  <c r="C15" i="3"/>
  <c r="E15" i="3" s="1"/>
  <c r="H35" i="3"/>
  <c r="G36" i="3" s="1"/>
  <c r="G37" i="3" s="1"/>
  <c r="N19" i="1"/>
  <c r="B6" i="1"/>
  <c r="J33" i="3" l="1"/>
  <c r="I34" i="3"/>
  <c r="J34" i="3" s="1"/>
  <c r="E13" i="3"/>
  <c r="C17" i="3"/>
  <c r="E23" i="3"/>
  <c r="C27" i="3"/>
  <c r="D35" i="3"/>
  <c r="I35" i="3"/>
  <c r="J35" i="3" s="1"/>
  <c r="F36" i="3"/>
  <c r="H36" i="3" s="1"/>
  <c r="D36" i="3" s="1"/>
  <c r="D37" i="3" l="1"/>
  <c r="F23" i="3"/>
  <c r="G23" i="3"/>
  <c r="G13" i="3"/>
  <c r="F13" i="3"/>
  <c r="H13" i="3" s="1"/>
  <c r="F14" i="3" s="1"/>
  <c r="F37" i="3"/>
  <c r="D13" i="3"/>
  <c r="G14" i="3"/>
  <c r="I36" i="3"/>
  <c r="J36" i="3" s="1"/>
  <c r="J37" i="3" s="1"/>
  <c r="I13" i="3" l="1"/>
  <c r="H23" i="3"/>
  <c r="J38" i="3"/>
  <c r="J13" i="3"/>
  <c r="H14" i="3"/>
  <c r="I14" i="3" s="1"/>
  <c r="D23" i="3" l="1"/>
  <c r="F24" i="3"/>
  <c r="G24" i="3"/>
  <c r="H24" i="3" s="1"/>
  <c r="I23" i="3"/>
  <c r="J14" i="3"/>
  <c r="D14" i="3"/>
  <c r="F15" i="3"/>
  <c r="G15" i="3"/>
  <c r="G25" i="3" l="1"/>
  <c r="F25" i="3"/>
  <c r="H25" i="3" s="1"/>
  <c r="D24" i="3"/>
  <c r="J23" i="3"/>
  <c r="I24" i="3"/>
  <c r="H15" i="3"/>
  <c r="D25" i="3" l="1"/>
  <c r="G26" i="3"/>
  <c r="G27" i="3" s="1"/>
  <c r="F26" i="3"/>
  <c r="F27" i="3" s="1"/>
  <c r="I25" i="3"/>
  <c r="J24" i="3"/>
  <c r="F16" i="3"/>
  <c r="F17" i="3" s="1"/>
  <c r="G16" i="3"/>
  <c r="G17" i="3" s="1"/>
  <c r="D15" i="3"/>
  <c r="I15" i="3"/>
  <c r="J25" i="3" l="1"/>
  <c r="H26" i="3"/>
  <c r="D26" i="3" s="1"/>
  <c r="D27" i="3" s="1"/>
  <c r="H16" i="3"/>
  <c r="D16" i="3" s="1"/>
  <c r="D17" i="3" s="1"/>
  <c r="J15" i="3"/>
  <c r="I16" i="3"/>
  <c r="J16" i="3" s="1"/>
  <c r="J17" i="3" s="1"/>
  <c r="J18" i="3" s="1"/>
  <c r="N13" i="1"/>
  <c r="N21" i="1" s="1"/>
  <c r="I26" i="3" l="1"/>
  <c r="J26" i="3" s="1"/>
  <c r="J27" i="3"/>
  <c r="J28" i="3" s="1"/>
</calcChain>
</file>

<file path=xl/sharedStrings.xml><?xml version="1.0" encoding="utf-8"?>
<sst xmlns="http://schemas.openxmlformats.org/spreadsheetml/2006/main" count="169" uniqueCount="89">
  <si>
    <t>Quarter</t>
  </si>
  <si>
    <t>Demand</t>
  </si>
  <si>
    <t>Q1</t>
  </si>
  <si>
    <t>Q2</t>
  </si>
  <si>
    <t>Q3</t>
  </si>
  <si>
    <t>Q4</t>
  </si>
  <si>
    <t>Product 1</t>
  </si>
  <si>
    <t>MPS</t>
  </si>
  <si>
    <t>Product 2</t>
  </si>
  <si>
    <t>% of Overall Demand</t>
  </si>
  <si>
    <t>MN1</t>
  </si>
  <si>
    <t>MN2</t>
  </si>
  <si>
    <t>MN3</t>
  </si>
  <si>
    <t>MN4</t>
  </si>
  <si>
    <t>MN5</t>
  </si>
  <si>
    <t>MN6</t>
  </si>
  <si>
    <t>MN7</t>
  </si>
  <si>
    <t>MN8</t>
  </si>
  <si>
    <t>MN9</t>
  </si>
  <si>
    <t>MN10</t>
  </si>
  <si>
    <t>MN11</t>
  </si>
  <si>
    <t>MN12</t>
  </si>
  <si>
    <t>Year</t>
  </si>
  <si>
    <t>Naïve</t>
  </si>
  <si>
    <t>Naïve AD</t>
  </si>
  <si>
    <t>3MA</t>
  </si>
  <si>
    <t>3MA AD</t>
  </si>
  <si>
    <t>5MA</t>
  </si>
  <si>
    <t>5MA AD</t>
  </si>
  <si>
    <t>Forecast</t>
  </si>
  <si>
    <t>MAD</t>
  </si>
  <si>
    <t xml:space="preserve">1.  You must calculate the actual Naïve and MA methods correctly.  </t>
  </si>
  <si>
    <t>2.  The numbers in red above are the correct nextperiod Forecasts and MAD numbers for each method</t>
  </si>
  <si>
    <t>3.  In your exec summary you needed to have these basics for sure:</t>
  </si>
  <si>
    <t>- Section headers</t>
  </si>
  <si>
    <t>- actual forecast numbers within the body of the summary</t>
  </si>
  <si>
    <t>- intelligible discussion of the three methods</t>
  </si>
  <si>
    <t>4.  You may see comments on your paper such as "What is your 201X Forecast?" or "MAD numbers are incorrect".  Those comments are my way of saying you are missing something or what you wrote does not make sense.</t>
  </si>
  <si>
    <t>- intelligible comparison of the numbers that came out of the 3 methods (results/#'s preferably in tabular format)</t>
  </si>
  <si>
    <t>APP TEMPLATE</t>
  </si>
  <si>
    <t>DEMAND</t>
  </si>
  <si>
    <t>AGGREGATE PRODUCTIN PLANNING - EXAMPLE</t>
  </si>
  <si>
    <t>Prod./Wrkr =</t>
  </si>
  <si>
    <t>Hire Cost =</t>
  </si>
  <si>
    <t>Fire Cost =</t>
  </si>
  <si>
    <t>Level</t>
  </si>
  <si>
    <t>Begin Wrks =</t>
  </si>
  <si>
    <t>inv. Cst =</t>
  </si>
  <si>
    <t>Needed</t>
  </si>
  <si>
    <t>Produced</t>
  </si>
  <si>
    <t>Act. Produced</t>
  </si>
  <si>
    <t>Wrks Nd'd</t>
  </si>
  <si>
    <t>Hire</t>
  </si>
  <si>
    <t>Fire</t>
  </si>
  <si>
    <t>Ttl Wrks</t>
  </si>
  <si>
    <t>End Inv.</t>
  </si>
  <si>
    <t>Inv. Cst</t>
  </si>
  <si>
    <t>Totals</t>
  </si>
  <si>
    <t>Hire/Fire Costs =</t>
  </si>
  <si>
    <t>Total  Inv. Cost =</t>
  </si>
  <si>
    <t/>
  </si>
  <si>
    <t>Level Plan</t>
  </si>
  <si>
    <t>Total Cost =</t>
  </si>
  <si>
    <t>Chase</t>
  </si>
  <si>
    <t>Chase Plan</t>
  </si>
  <si>
    <t>Hybrid</t>
  </si>
  <si>
    <t>Hybrid Plan</t>
  </si>
  <si>
    <t>Final Forecast</t>
  </si>
  <si>
    <t>Qrtly Demand Ratio</t>
  </si>
  <si>
    <t>Ave Demand</t>
  </si>
  <si>
    <t>You can find a lower cost hybrid plan.</t>
  </si>
  <si>
    <t>The hybrid plan above is just one example of a lower cost plan.</t>
  </si>
  <si>
    <t>You need to use the forecast w/</t>
  </si>
  <si>
    <t>forecasting models</t>
  </si>
  <si>
    <t>the lowest MAD from you rvarious</t>
  </si>
  <si>
    <t xml:space="preserve">You must use the demand ratios from the Exam </t>
  </si>
  <si>
    <t>&amp; spread the yearly demand from your best forecast</t>
  </si>
  <si>
    <t>over the four quarters.</t>
  </si>
  <si>
    <t>Your lowet cost plan Q1-Q4 demand is used here (i.e., your hybird plan).</t>
  </si>
  <si>
    <t>% of Q1 Demand Prod 1 or Prod 2</t>
  </si>
  <si>
    <t>% of Q2 Demand Prod 1 or Prod 2</t>
  </si>
  <si>
    <t>% of Q4 Demand Prod 1 or Prod 2</t>
  </si>
  <si>
    <t>A command such as ceiling needs to be used here so partial units are not being shown/scheduled.  Round &amp;/or Truncate could also be used.</t>
  </si>
  <si>
    <t>These #'s come out as integers for the Product 2 schedule so there is no need to use a ceiling or round or truncate command.</t>
  </si>
  <si>
    <t>This # should match the sum of Q1-Q4</t>
  </si>
  <si>
    <t>However, by using these functions your plan may either accumulate extra units or be short units within the schedule.  The last month's cell (my cell M13) is used to recitfy so the proper demand is accounted for.</t>
  </si>
  <si>
    <t>In your exec summary you needed to have these basics for sure:</t>
  </si>
  <si>
    <t>- intelligible discussion of the MPS breakdown</t>
  </si>
  <si>
    <t>- how you dealt with partial units in your MPS (e.g., I truncated &amp; made the #'s up later or I used the ceiling command &amp; decreased units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</si>
</sst>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Times New Roman"/>
      <family val="1"/>
    </font>
    <font>
      <b/>
      <sz val="11"/>
      <color rgb="FFFF0000"/>
      <name val="Calibri"/>
      <family val="2"/>
      <scheme val="minor"/>
    </font>
  </fonts>
  <fills count="2">
    <fill>
      <patternFill patternType="none"/>
    </fill>
    <fill>
      <patternFill patternType="gray125"/>
    </fill>
  </fills>
  <borders count="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9">
    <xf numFmtId="0" fontId="0" fillId="0" borderId="0" xfId="0"/>
    <xf numFmtId="0" fontId="0" fillId="0" borderId="0" xfId="0" applyAlignment="1">
      <alignment horizontal="center"/>
    </xf>
    <xf numFmtId="0" fontId="2" fillId="0" borderId="0" xfId="0" applyFont="1" applyFill="1" applyAlignment="1">
      <alignment horizontal="center"/>
    </xf>
    <xf numFmtId="9" fontId="0" fillId="0" borderId="0" xfId="0" applyNumberFormat="1" applyAlignment="1">
      <alignment horizontal="center"/>
    </xf>
    <xf numFmtId="0" fontId="1" fillId="0" borderId="0" xfId="0" applyFont="1" applyAlignment="1">
      <alignment horizontal="center"/>
    </xf>
    <xf numFmtId="0" fontId="1"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0" xfId="0" applyFont="1"/>
    <xf numFmtId="0" fontId="3" fillId="0" borderId="0" xfId="0" applyFont="1" applyAlignment="1">
      <alignment horizontal="left"/>
    </xf>
    <xf numFmtId="0" fontId="3" fillId="0" borderId="0" xfId="0" applyFont="1" applyAlignment="1">
      <alignment horizontal="right"/>
    </xf>
    <xf numFmtId="0" fontId="3" fillId="0" borderId="6" xfId="0" applyFont="1" applyBorder="1" applyAlignment="1">
      <alignment horizontal="center"/>
    </xf>
    <xf numFmtId="0" fontId="3" fillId="0" borderId="0" xfId="0" quotePrefix="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110" zoomScaleNormal="110" workbookViewId="0">
      <selection activeCell="C16" sqref="C16"/>
    </sheetView>
  </sheetViews>
  <sheetFormatPr baseColWidth="10" defaultColWidth="8.83203125" defaultRowHeight="15" x14ac:dyDescent="0.2"/>
  <sheetData>
    <row r="1" spans="1:10" x14ac:dyDescent="0.2">
      <c r="A1" t="s">
        <v>22</v>
      </c>
      <c r="B1" t="s">
        <v>1</v>
      </c>
      <c r="C1" t="s">
        <v>23</v>
      </c>
      <c r="D1" t="s">
        <v>24</v>
      </c>
      <c r="E1" t="s">
        <v>25</v>
      </c>
      <c r="F1" t="s">
        <v>26</v>
      </c>
      <c r="G1" t="s">
        <v>27</v>
      </c>
      <c r="H1" t="s">
        <v>28</v>
      </c>
    </row>
    <row r="2" spans="1:10" x14ac:dyDescent="0.2">
      <c r="A2">
        <v>1</v>
      </c>
      <c r="B2">
        <v>109000</v>
      </c>
    </row>
    <row r="3" spans="1:10" x14ac:dyDescent="0.2">
      <c r="A3">
        <v>2</v>
      </c>
      <c r="B3">
        <v>115000</v>
      </c>
      <c r="C3">
        <f>B2</f>
        <v>109000</v>
      </c>
      <c r="D3">
        <f>ABS(B3-C3)</f>
        <v>6000</v>
      </c>
    </row>
    <row r="4" spans="1:10" x14ac:dyDescent="0.2">
      <c r="A4">
        <v>3</v>
      </c>
      <c r="B4">
        <v>119000</v>
      </c>
      <c r="C4">
        <f t="shared" ref="C4:C13" si="0">B3</f>
        <v>115000</v>
      </c>
      <c r="D4">
        <f t="shared" ref="D4:D13" si="1">ABS(B4-C4)</f>
        <v>4000</v>
      </c>
    </row>
    <row r="5" spans="1:10" x14ac:dyDescent="0.2">
      <c r="A5">
        <v>4</v>
      </c>
      <c r="B5">
        <v>117000</v>
      </c>
      <c r="C5">
        <f t="shared" si="0"/>
        <v>119000</v>
      </c>
      <c r="D5">
        <f t="shared" si="1"/>
        <v>2000</v>
      </c>
      <c r="E5">
        <f>AVERAGE(B2:B4)</f>
        <v>114333.33333333333</v>
      </c>
      <c r="F5">
        <f>ABS(B5-E5)</f>
        <v>2666.6666666666715</v>
      </c>
    </row>
    <row r="6" spans="1:10" x14ac:dyDescent="0.2">
      <c r="A6">
        <v>5</v>
      </c>
      <c r="B6">
        <v>122000</v>
      </c>
      <c r="C6">
        <f t="shared" si="0"/>
        <v>117000</v>
      </c>
      <c r="D6">
        <f t="shared" si="1"/>
        <v>5000</v>
      </c>
      <c r="E6">
        <f t="shared" ref="E6:E12" si="2">AVERAGE(B3:B5)</f>
        <v>117000</v>
      </c>
      <c r="F6">
        <f t="shared" ref="F6:F13" si="3">ABS(B6-E6)</f>
        <v>5000</v>
      </c>
    </row>
    <row r="7" spans="1:10" x14ac:dyDescent="0.2">
      <c r="A7">
        <v>6</v>
      </c>
      <c r="B7">
        <v>132000</v>
      </c>
      <c r="C7">
        <f t="shared" si="0"/>
        <v>122000</v>
      </c>
      <c r="D7">
        <f t="shared" si="1"/>
        <v>10000</v>
      </c>
      <c r="E7">
        <f t="shared" si="2"/>
        <v>119333.33333333333</v>
      </c>
      <c r="F7">
        <f t="shared" si="3"/>
        <v>12666.666666666672</v>
      </c>
      <c r="G7">
        <f>AVERAGE(B2:B6)</f>
        <v>116400</v>
      </c>
      <c r="H7">
        <f>ABS(B7-G7)</f>
        <v>15600</v>
      </c>
    </row>
    <row r="8" spans="1:10" x14ac:dyDescent="0.2">
      <c r="A8">
        <v>7</v>
      </c>
      <c r="B8">
        <v>122000</v>
      </c>
      <c r="C8">
        <f t="shared" si="0"/>
        <v>132000</v>
      </c>
      <c r="D8">
        <f t="shared" si="1"/>
        <v>10000</v>
      </c>
      <c r="E8">
        <f t="shared" si="2"/>
        <v>123666.66666666667</v>
      </c>
      <c r="F8">
        <f t="shared" si="3"/>
        <v>1666.6666666666715</v>
      </c>
      <c r="G8">
        <f t="shared" ref="G8:G13" si="4">AVERAGE(B3:B7)</f>
        <v>121000</v>
      </c>
      <c r="H8">
        <f t="shared" ref="H8:H12" si="5">ABS(B8-G8)</f>
        <v>1000</v>
      </c>
    </row>
    <row r="9" spans="1:10" x14ac:dyDescent="0.2">
      <c r="A9">
        <v>8</v>
      </c>
      <c r="B9">
        <v>125000</v>
      </c>
      <c r="C9">
        <f t="shared" si="0"/>
        <v>122000</v>
      </c>
      <c r="D9">
        <f t="shared" si="1"/>
        <v>3000</v>
      </c>
      <c r="E9">
        <f t="shared" si="2"/>
        <v>125333.33333333333</v>
      </c>
      <c r="F9">
        <f t="shared" si="3"/>
        <v>333.33333333332848</v>
      </c>
      <c r="G9">
        <f t="shared" si="4"/>
        <v>122400</v>
      </c>
      <c r="H9">
        <f t="shared" si="5"/>
        <v>2600</v>
      </c>
    </row>
    <row r="10" spans="1:10" x14ac:dyDescent="0.2">
      <c r="A10">
        <v>9</v>
      </c>
      <c r="B10">
        <v>121000</v>
      </c>
      <c r="C10">
        <f t="shared" si="0"/>
        <v>125000</v>
      </c>
      <c r="D10">
        <f t="shared" si="1"/>
        <v>4000</v>
      </c>
      <c r="E10">
        <f t="shared" si="2"/>
        <v>126333.33333333333</v>
      </c>
      <c r="F10">
        <f t="shared" si="3"/>
        <v>5333.3333333333285</v>
      </c>
      <c r="G10">
        <f t="shared" si="4"/>
        <v>123600</v>
      </c>
      <c r="H10">
        <f t="shared" si="5"/>
        <v>2600</v>
      </c>
      <c r="J10">
        <f>809+1456+970+1617</f>
        <v>4852</v>
      </c>
    </row>
    <row r="11" spans="1:10" x14ac:dyDescent="0.2">
      <c r="A11">
        <v>10</v>
      </c>
      <c r="B11">
        <v>120000</v>
      </c>
      <c r="C11">
        <f t="shared" si="0"/>
        <v>121000</v>
      </c>
      <c r="D11">
        <f t="shared" si="1"/>
        <v>1000</v>
      </c>
      <c r="E11">
        <f t="shared" si="2"/>
        <v>122666.66666666667</v>
      </c>
      <c r="F11">
        <f t="shared" si="3"/>
        <v>2666.6666666666715</v>
      </c>
      <c r="G11">
        <f t="shared" si="4"/>
        <v>124400</v>
      </c>
      <c r="H11">
        <f t="shared" si="5"/>
        <v>4400</v>
      </c>
    </row>
    <row r="12" spans="1:10" x14ac:dyDescent="0.2">
      <c r="A12">
        <v>11</v>
      </c>
      <c r="B12">
        <v>115000</v>
      </c>
      <c r="C12">
        <f t="shared" si="0"/>
        <v>120000</v>
      </c>
      <c r="D12">
        <f t="shared" si="1"/>
        <v>5000</v>
      </c>
      <c r="E12">
        <f t="shared" si="2"/>
        <v>122000</v>
      </c>
      <c r="F12">
        <f t="shared" si="3"/>
        <v>7000</v>
      </c>
      <c r="G12">
        <f t="shared" si="4"/>
        <v>124000</v>
      </c>
      <c r="H12">
        <f t="shared" si="5"/>
        <v>9000</v>
      </c>
    </row>
    <row r="13" spans="1:10" x14ac:dyDescent="0.2">
      <c r="A13">
        <v>12</v>
      </c>
      <c r="B13">
        <v>125000</v>
      </c>
      <c r="C13">
        <f t="shared" si="0"/>
        <v>115000</v>
      </c>
      <c r="D13">
        <f t="shared" si="1"/>
        <v>10000</v>
      </c>
      <c r="E13">
        <f>AVERAGE(B10:B12)</f>
        <v>118666.66666666667</v>
      </c>
      <c r="F13">
        <f t="shared" si="3"/>
        <v>6333.3333333333285</v>
      </c>
      <c r="G13">
        <f t="shared" si="4"/>
        <v>120600</v>
      </c>
      <c r="H13">
        <f>ABS(B13-G13)</f>
        <v>4400</v>
      </c>
    </row>
    <row r="14" spans="1:10" x14ac:dyDescent="0.2">
      <c r="A14" s="14" t="s">
        <v>29</v>
      </c>
      <c r="C14" s="14">
        <f>B13</f>
        <v>125000</v>
      </c>
      <c r="D14" s="14"/>
      <c r="E14" s="14">
        <f>AVERAGE(B11:B13)</f>
        <v>120000</v>
      </c>
      <c r="F14" s="14"/>
      <c r="G14" s="14">
        <f>AVERAGE(B9:B13)</f>
        <v>121200</v>
      </c>
      <c r="H14" s="14"/>
    </row>
    <row r="15" spans="1:10" x14ac:dyDescent="0.2">
      <c r="A15" s="14" t="s">
        <v>30</v>
      </c>
      <c r="C15" s="14"/>
      <c r="D15" s="14">
        <f>AVERAGE(D2:D13)</f>
        <v>5454.545454545455</v>
      </c>
      <c r="E15" s="14"/>
      <c r="F15" s="14">
        <f>AVERAGE(F5:F13)</f>
        <v>4851.8518518518522</v>
      </c>
      <c r="G15" s="14"/>
      <c r="H15" s="14">
        <f>AVERAGE(H7:H13)</f>
        <v>5657.1428571428569</v>
      </c>
    </row>
    <row r="18" spans="1:5" x14ac:dyDescent="0.2">
      <c r="A18" s="14" t="s">
        <v>31</v>
      </c>
    </row>
    <row r="19" spans="1:5" x14ac:dyDescent="0.2">
      <c r="A19" s="14" t="s">
        <v>32</v>
      </c>
    </row>
    <row r="20" spans="1:5" x14ac:dyDescent="0.2">
      <c r="A20" s="14" t="s">
        <v>33</v>
      </c>
    </row>
    <row r="21" spans="1:5" x14ac:dyDescent="0.2">
      <c r="A21" s="18" t="s">
        <v>34</v>
      </c>
    </row>
    <row r="22" spans="1:5" x14ac:dyDescent="0.2">
      <c r="A22" s="18" t="s">
        <v>35</v>
      </c>
    </row>
    <row r="23" spans="1:5" x14ac:dyDescent="0.2">
      <c r="A23" s="18" t="s">
        <v>36</v>
      </c>
    </row>
    <row r="24" spans="1:5" x14ac:dyDescent="0.2">
      <c r="A24" s="18" t="s">
        <v>38</v>
      </c>
    </row>
    <row r="25" spans="1:5" x14ac:dyDescent="0.2">
      <c r="A25" s="14" t="s">
        <v>37</v>
      </c>
    </row>
    <row r="32" spans="1:5" x14ac:dyDescent="0.2">
      <c r="E32">
        <f>13600/3</f>
        <v>4533.333333333333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topLeftCell="A19" workbookViewId="0">
      <selection activeCell="L16" sqref="L16"/>
    </sheetView>
  </sheetViews>
  <sheetFormatPr baseColWidth="10" defaultColWidth="8.83203125" defaultRowHeight="15" x14ac:dyDescent="0.2"/>
  <cols>
    <col min="3" max="3" width="12" customWidth="1"/>
  </cols>
  <sheetData>
    <row r="1" spans="1:10" x14ac:dyDescent="0.2">
      <c r="A1" t="s">
        <v>39</v>
      </c>
      <c r="E1" t="s">
        <v>40</v>
      </c>
      <c r="F1" t="s">
        <v>68</v>
      </c>
    </row>
    <row r="2" spans="1:10" x14ac:dyDescent="0.2">
      <c r="D2" t="s">
        <v>2</v>
      </c>
      <c r="E2">
        <f>$B$4*F2</f>
        <v>20000</v>
      </c>
      <c r="F2">
        <f>1/6</f>
        <v>0.16666666666666666</v>
      </c>
      <c r="H2" s="14" t="s">
        <v>75</v>
      </c>
    </row>
    <row r="3" spans="1:10" x14ac:dyDescent="0.2">
      <c r="A3" s="14" t="s">
        <v>67</v>
      </c>
      <c r="B3" s="14"/>
      <c r="D3" t="s">
        <v>3</v>
      </c>
      <c r="E3">
        <f t="shared" ref="E3:E5" si="0">$B$4*F3</f>
        <v>36000</v>
      </c>
      <c r="F3">
        <f>3/10</f>
        <v>0.3</v>
      </c>
      <c r="H3" s="14" t="s">
        <v>76</v>
      </c>
    </row>
    <row r="4" spans="1:10" x14ac:dyDescent="0.2">
      <c r="A4" s="14"/>
      <c r="B4" s="14">
        <f>Forecast!E14</f>
        <v>120000</v>
      </c>
      <c r="D4" t="s">
        <v>4</v>
      </c>
      <c r="E4">
        <f t="shared" si="0"/>
        <v>24000</v>
      </c>
      <c r="F4">
        <f>1/5</f>
        <v>0.2</v>
      </c>
      <c r="H4" s="14" t="s">
        <v>77</v>
      </c>
    </row>
    <row r="5" spans="1:10" x14ac:dyDescent="0.2">
      <c r="A5" s="14" t="s">
        <v>72</v>
      </c>
      <c r="B5" s="14"/>
      <c r="D5" t="s">
        <v>5</v>
      </c>
      <c r="E5">
        <f t="shared" si="0"/>
        <v>40000</v>
      </c>
      <c r="F5">
        <f>1/3</f>
        <v>0.33333333333333331</v>
      </c>
    </row>
    <row r="6" spans="1:10" x14ac:dyDescent="0.2">
      <c r="A6" s="14" t="s">
        <v>74</v>
      </c>
      <c r="B6" s="14"/>
    </row>
    <row r="7" spans="1:10" x14ac:dyDescent="0.2">
      <c r="A7" s="14" t="s">
        <v>73</v>
      </c>
    </row>
    <row r="9" spans="1:10" x14ac:dyDescent="0.2">
      <c r="A9" t="s">
        <v>41</v>
      </c>
    </row>
    <row r="10" spans="1:10" x14ac:dyDescent="0.2">
      <c r="E10" t="s">
        <v>42</v>
      </c>
      <c r="F10" t="s">
        <v>43</v>
      </c>
      <c r="G10" t="s">
        <v>44</v>
      </c>
    </row>
    <row r="11" spans="1:10" x14ac:dyDescent="0.2">
      <c r="A11" t="s">
        <v>45</v>
      </c>
      <c r="B11" t="s">
        <v>46</v>
      </c>
      <c r="C11">
        <v>0</v>
      </c>
      <c r="E11">
        <v>100</v>
      </c>
      <c r="F11">
        <v>250</v>
      </c>
      <c r="G11">
        <v>400</v>
      </c>
      <c r="I11" t="s">
        <v>47</v>
      </c>
      <c r="J11">
        <v>4.5</v>
      </c>
    </row>
    <row r="12" spans="1:10" x14ac:dyDescent="0.2">
      <c r="B12" t="s">
        <v>48</v>
      </c>
      <c r="C12" t="s">
        <v>49</v>
      </c>
      <c r="D12" t="s">
        <v>50</v>
      </c>
      <c r="E12" t="s">
        <v>51</v>
      </c>
      <c r="F12" t="s">
        <v>52</v>
      </c>
      <c r="G12" t="s">
        <v>53</v>
      </c>
      <c r="H12" t="s">
        <v>54</v>
      </c>
      <c r="I12" t="s">
        <v>55</v>
      </c>
      <c r="J12" t="s">
        <v>56</v>
      </c>
    </row>
    <row r="13" spans="1:10" x14ac:dyDescent="0.2">
      <c r="A13" t="s">
        <v>2</v>
      </c>
      <c r="B13">
        <f>E2</f>
        <v>20000</v>
      </c>
      <c r="C13">
        <f>$B$17</f>
        <v>30000</v>
      </c>
      <c r="D13">
        <f>H13*E$11</f>
        <v>30000</v>
      </c>
      <c r="E13">
        <f>CEILING(C13/E$11,1)</f>
        <v>300</v>
      </c>
      <c r="F13">
        <f>IF(E13&gt;C11,E13-C11,0)</f>
        <v>300</v>
      </c>
      <c r="G13">
        <f>IF(C11&gt;E13,C11-E13,0)</f>
        <v>0</v>
      </c>
      <c r="H13">
        <f>C11+F13-G13</f>
        <v>300</v>
      </c>
      <c r="I13">
        <f>H13*E11-B13</f>
        <v>10000</v>
      </c>
      <c r="J13">
        <f>I13*J11</f>
        <v>45000</v>
      </c>
    </row>
    <row r="14" spans="1:10" x14ac:dyDescent="0.2">
      <c r="A14" t="s">
        <v>3</v>
      </c>
      <c r="B14">
        <f>E3</f>
        <v>36000</v>
      </c>
      <c r="C14">
        <f t="shared" ref="C14:C16" si="1">$B$17</f>
        <v>30000</v>
      </c>
      <c r="D14">
        <f>H14*E$11</f>
        <v>30000</v>
      </c>
      <c r="E14">
        <f>CEILING(C14/E$11,1)</f>
        <v>300</v>
      </c>
      <c r="F14">
        <f>IF(E14&gt;H13,E14-H13,0)</f>
        <v>0</v>
      </c>
      <c r="G14">
        <f>IF(E14&lt;H13,H13-E14,0)</f>
        <v>0</v>
      </c>
      <c r="H14">
        <f>H13+F14-G14</f>
        <v>300</v>
      </c>
      <c r="I14">
        <f>I13+H14*E$31-B14</f>
        <v>4000</v>
      </c>
      <c r="J14">
        <f>I14*J$11</f>
        <v>18000</v>
      </c>
    </row>
    <row r="15" spans="1:10" x14ac:dyDescent="0.2">
      <c r="A15" t="s">
        <v>4</v>
      </c>
      <c r="B15">
        <f>E4</f>
        <v>24000</v>
      </c>
      <c r="C15">
        <f t="shared" si="1"/>
        <v>30000</v>
      </c>
      <c r="D15">
        <f>H15*E$11</f>
        <v>30000</v>
      </c>
      <c r="E15">
        <f>CEILING(C15/E$11,1)</f>
        <v>300</v>
      </c>
      <c r="F15">
        <f>IF(E15&gt;H14,E15-H14,0)</f>
        <v>0</v>
      </c>
      <c r="G15">
        <f>IF(E15&lt;H14,H14-E15,0)</f>
        <v>0</v>
      </c>
      <c r="H15">
        <f>H14+F15-G15</f>
        <v>300</v>
      </c>
      <c r="I15">
        <f>I14+H15*E$31-B15</f>
        <v>10000</v>
      </c>
      <c r="J15">
        <f>I15*J$11</f>
        <v>45000</v>
      </c>
    </row>
    <row r="16" spans="1:10" x14ac:dyDescent="0.2">
      <c r="A16" t="s">
        <v>5</v>
      </c>
      <c r="B16">
        <f>E5</f>
        <v>40000</v>
      </c>
      <c r="C16">
        <f t="shared" si="1"/>
        <v>30000</v>
      </c>
      <c r="D16">
        <f>H16*E$11</f>
        <v>30000</v>
      </c>
      <c r="E16">
        <f>CEILING(C16/E$11,1)</f>
        <v>300</v>
      </c>
      <c r="F16">
        <f>IF(E16&gt;H15,E16-H15,0)</f>
        <v>0</v>
      </c>
      <c r="G16">
        <f>IF(E16&lt;H15,H15-E16,0)</f>
        <v>0</v>
      </c>
      <c r="H16">
        <f>H15+F16-G16</f>
        <v>300</v>
      </c>
      <c r="I16">
        <f>I15+H16*E$31-B16</f>
        <v>0</v>
      </c>
      <c r="J16">
        <f>I16*J$11</f>
        <v>0</v>
      </c>
    </row>
    <row r="17" spans="1:10" x14ac:dyDescent="0.2">
      <c r="A17" t="s">
        <v>57</v>
      </c>
      <c r="B17">
        <f>SUM(B13:B16)/4</f>
        <v>30000</v>
      </c>
      <c r="C17">
        <f>SUM(C13:C16)</f>
        <v>120000</v>
      </c>
      <c r="D17">
        <f>SUM(D13:D16)</f>
        <v>120000</v>
      </c>
      <c r="E17" t="s">
        <v>58</v>
      </c>
      <c r="F17">
        <f>SUM(F13:F16)*F11</f>
        <v>75000</v>
      </c>
      <c r="G17">
        <f>SUM(G13:G16)*G11</f>
        <v>0</v>
      </c>
      <c r="I17" t="s">
        <v>59</v>
      </c>
      <c r="J17">
        <f>SUM(J13:J16)</f>
        <v>108000</v>
      </c>
    </row>
    <row r="18" spans="1:10" x14ac:dyDescent="0.2">
      <c r="B18" t="s">
        <v>69</v>
      </c>
      <c r="G18" t="s">
        <v>60</v>
      </c>
      <c r="H18" t="s">
        <v>61</v>
      </c>
      <c r="I18" t="s">
        <v>62</v>
      </c>
      <c r="J18">
        <f>F17+G17+J17</f>
        <v>183000</v>
      </c>
    </row>
    <row r="20" spans="1:10" x14ac:dyDescent="0.2">
      <c r="E20" t="s">
        <v>42</v>
      </c>
      <c r="F20" t="s">
        <v>43</v>
      </c>
      <c r="G20" t="s">
        <v>44</v>
      </c>
    </row>
    <row r="21" spans="1:10" x14ac:dyDescent="0.2">
      <c r="A21" t="s">
        <v>63</v>
      </c>
      <c r="B21" t="s">
        <v>46</v>
      </c>
      <c r="C21">
        <f>C11</f>
        <v>0</v>
      </c>
      <c r="E21">
        <f>E11</f>
        <v>100</v>
      </c>
      <c r="F21">
        <f>F11</f>
        <v>250</v>
      </c>
      <c r="G21">
        <f>G11</f>
        <v>400</v>
      </c>
      <c r="I21" t="s">
        <v>47</v>
      </c>
      <c r="J21">
        <f>J11</f>
        <v>4.5</v>
      </c>
    </row>
    <row r="22" spans="1:10" x14ac:dyDescent="0.2">
      <c r="B22" t="s">
        <v>48</v>
      </c>
      <c r="C22" t="s">
        <v>49</v>
      </c>
      <c r="D22" t="s">
        <v>50</v>
      </c>
      <c r="E22" t="s">
        <v>51</v>
      </c>
      <c r="F22" t="s">
        <v>52</v>
      </c>
      <c r="G22" t="s">
        <v>53</v>
      </c>
      <c r="H22" t="s">
        <v>54</v>
      </c>
      <c r="I22" t="s">
        <v>55</v>
      </c>
      <c r="J22" t="s">
        <v>56</v>
      </c>
    </row>
    <row r="23" spans="1:10" x14ac:dyDescent="0.2">
      <c r="A23" t="s">
        <v>2</v>
      </c>
      <c r="B23">
        <f>B13</f>
        <v>20000</v>
      </c>
      <c r="C23">
        <f>B23</f>
        <v>20000</v>
      </c>
      <c r="D23">
        <f>H23*E$11</f>
        <v>20000</v>
      </c>
      <c r="E23">
        <f>CEILING(C23/E$11,1)</f>
        <v>200</v>
      </c>
      <c r="F23">
        <f>IF(E23&gt;C21,E23-C21,0)</f>
        <v>200</v>
      </c>
      <c r="G23">
        <f>IF(C21&gt;E23,C21-E23,0)</f>
        <v>0</v>
      </c>
      <c r="H23">
        <f>C21+F23-G23</f>
        <v>200</v>
      </c>
      <c r="I23">
        <f>H23*E21-B23</f>
        <v>0</v>
      </c>
      <c r="J23">
        <f>I23*J21</f>
        <v>0</v>
      </c>
    </row>
    <row r="24" spans="1:10" x14ac:dyDescent="0.2">
      <c r="A24" t="s">
        <v>3</v>
      </c>
      <c r="B24">
        <f>B14</f>
        <v>36000</v>
      </c>
      <c r="C24">
        <f t="shared" ref="C24:C26" si="2">B24</f>
        <v>36000</v>
      </c>
      <c r="D24">
        <f>H24*E$11</f>
        <v>36000</v>
      </c>
      <c r="E24">
        <f>CEILING(C24/E$11,1)</f>
        <v>360</v>
      </c>
      <c r="F24">
        <f>IF(E24&gt;H23,E24-H23,0)</f>
        <v>160</v>
      </c>
      <c r="G24">
        <f>IF(E24&lt;H23,H23-E24,0)</f>
        <v>0</v>
      </c>
      <c r="H24">
        <f>H23+F24-G24</f>
        <v>360</v>
      </c>
      <c r="I24">
        <f>I23+H24*E$31-B24</f>
        <v>0</v>
      </c>
      <c r="J24">
        <f>I24*J$11</f>
        <v>0</v>
      </c>
    </row>
    <row r="25" spans="1:10" x14ac:dyDescent="0.2">
      <c r="A25" t="s">
        <v>4</v>
      </c>
      <c r="B25">
        <f>B15</f>
        <v>24000</v>
      </c>
      <c r="C25">
        <f t="shared" si="2"/>
        <v>24000</v>
      </c>
      <c r="D25">
        <f>H25*E$11</f>
        <v>24000</v>
      </c>
      <c r="E25">
        <f>CEILING(C25/E$11,1)</f>
        <v>240</v>
      </c>
      <c r="F25">
        <f>IF(E25&gt;H24,E25-H24,0)</f>
        <v>0</v>
      </c>
      <c r="G25">
        <f>IF(E25&lt;H24,H24-E25,0)</f>
        <v>120</v>
      </c>
      <c r="H25">
        <f>H24+F25-G25</f>
        <v>240</v>
      </c>
      <c r="I25">
        <f>I24+H25*E$31-B25</f>
        <v>0</v>
      </c>
      <c r="J25">
        <f>I25*J$11</f>
        <v>0</v>
      </c>
    </row>
    <row r="26" spans="1:10" x14ac:dyDescent="0.2">
      <c r="A26" t="s">
        <v>5</v>
      </c>
      <c r="B26">
        <f>B16</f>
        <v>40000</v>
      </c>
      <c r="C26">
        <f t="shared" si="2"/>
        <v>40000</v>
      </c>
      <c r="D26">
        <f>H26*E$11</f>
        <v>40000</v>
      </c>
      <c r="E26">
        <f>CEILING(C26/E$11,1)</f>
        <v>400</v>
      </c>
      <c r="F26">
        <f>IF(E26&gt;H25,E26-H25,0)</f>
        <v>160</v>
      </c>
      <c r="G26">
        <f>IF(E26&lt;H25,H25-E26,0)</f>
        <v>0</v>
      </c>
      <c r="H26">
        <f>H25+F26-G26</f>
        <v>400</v>
      </c>
      <c r="I26">
        <f>I25+H26*E$31-B26</f>
        <v>0</v>
      </c>
      <c r="J26">
        <f>I26*J$11</f>
        <v>0</v>
      </c>
    </row>
    <row r="27" spans="1:10" x14ac:dyDescent="0.2">
      <c r="A27" t="s">
        <v>57</v>
      </c>
      <c r="C27">
        <f>SUM(C23:C26)</f>
        <v>120000</v>
      </c>
      <c r="D27">
        <f>SUM(D23:D26)</f>
        <v>120000</v>
      </c>
      <c r="E27" t="s">
        <v>58</v>
      </c>
      <c r="F27">
        <f>SUM(F23:F26)*F21</f>
        <v>130000</v>
      </c>
      <c r="G27">
        <f>SUM(G23:G26)*G21</f>
        <v>48000</v>
      </c>
      <c r="I27" t="s">
        <v>59</v>
      </c>
      <c r="J27">
        <f>SUM(J23:J26)</f>
        <v>0</v>
      </c>
    </row>
    <row r="28" spans="1:10" x14ac:dyDescent="0.2">
      <c r="H28" t="s">
        <v>64</v>
      </c>
      <c r="I28" t="s">
        <v>62</v>
      </c>
      <c r="J28">
        <f>F27+G27+J27</f>
        <v>178000</v>
      </c>
    </row>
    <row r="30" spans="1:10" x14ac:dyDescent="0.2">
      <c r="E30" t="s">
        <v>42</v>
      </c>
      <c r="F30" t="s">
        <v>43</v>
      </c>
      <c r="G30" t="s">
        <v>44</v>
      </c>
    </row>
    <row r="31" spans="1:10" x14ac:dyDescent="0.2">
      <c r="A31" t="s">
        <v>65</v>
      </c>
      <c r="B31" t="s">
        <v>46</v>
      </c>
      <c r="C31">
        <f>C21</f>
        <v>0</v>
      </c>
      <c r="E31">
        <f>E21</f>
        <v>100</v>
      </c>
      <c r="F31">
        <f>F21</f>
        <v>250</v>
      </c>
      <c r="G31">
        <f>G21</f>
        <v>400</v>
      </c>
      <c r="I31" t="s">
        <v>47</v>
      </c>
      <c r="J31">
        <f>J11</f>
        <v>4.5</v>
      </c>
    </row>
    <row r="32" spans="1:10" x14ac:dyDescent="0.2">
      <c r="B32" t="s">
        <v>48</v>
      </c>
      <c r="C32" s="14" t="s">
        <v>49</v>
      </c>
      <c r="D32" t="s">
        <v>50</v>
      </c>
      <c r="E32" t="s">
        <v>51</v>
      </c>
      <c r="F32" t="s">
        <v>52</v>
      </c>
      <c r="G32" t="s">
        <v>53</v>
      </c>
      <c r="H32" t="s">
        <v>54</v>
      </c>
      <c r="I32" t="s">
        <v>55</v>
      </c>
      <c r="J32" t="s">
        <v>56</v>
      </c>
    </row>
    <row r="33" spans="1:10" x14ac:dyDescent="0.2">
      <c r="A33" t="s">
        <v>2</v>
      </c>
      <c r="B33">
        <f>B23</f>
        <v>20000</v>
      </c>
      <c r="C33" s="14">
        <v>28000</v>
      </c>
      <c r="D33">
        <f>H33*E$11</f>
        <v>28000</v>
      </c>
      <c r="E33">
        <f>CEILING(C33/E$11,1)</f>
        <v>280</v>
      </c>
      <c r="F33">
        <f>IF(E33&gt;C31,E33-C31,0)</f>
        <v>280</v>
      </c>
      <c r="G33">
        <f>IF(C31&gt;E33,C31-E33,0)</f>
        <v>0</v>
      </c>
      <c r="H33">
        <f>C31+F33-G33</f>
        <v>280</v>
      </c>
      <c r="I33">
        <f>H33*E31-B33</f>
        <v>8000</v>
      </c>
      <c r="J33">
        <f>I33*J31</f>
        <v>36000</v>
      </c>
    </row>
    <row r="34" spans="1:10" x14ac:dyDescent="0.2">
      <c r="A34" t="s">
        <v>3</v>
      </c>
      <c r="B34">
        <f>B24</f>
        <v>36000</v>
      </c>
      <c r="C34" s="14">
        <v>28000</v>
      </c>
      <c r="D34">
        <f>H34*E$11</f>
        <v>28000</v>
      </c>
      <c r="E34">
        <f>CEILING(C34/E$11,1)</f>
        <v>280</v>
      </c>
      <c r="F34">
        <f>IF(E34&gt;H33,E34-H33,0)</f>
        <v>0</v>
      </c>
      <c r="G34">
        <f>IF(E34&lt;H33,H33-E34,0)</f>
        <v>0</v>
      </c>
      <c r="H34">
        <f>H33+F34-G34</f>
        <v>280</v>
      </c>
      <c r="I34">
        <f>I33+H34*E$31-B34</f>
        <v>0</v>
      </c>
      <c r="J34">
        <f>I34*J$11</f>
        <v>0</v>
      </c>
    </row>
    <row r="35" spans="1:10" x14ac:dyDescent="0.2">
      <c r="A35" t="s">
        <v>4</v>
      </c>
      <c r="B35">
        <f>B25</f>
        <v>24000</v>
      </c>
      <c r="C35" s="14">
        <v>32000</v>
      </c>
      <c r="D35">
        <f>H35*E$11</f>
        <v>32000</v>
      </c>
      <c r="E35">
        <f>CEILING(C35/E$11,1)</f>
        <v>320</v>
      </c>
      <c r="F35">
        <f>IF(E35&gt;H34,E35-H34,0)</f>
        <v>40</v>
      </c>
      <c r="G35">
        <f>IF(E35&lt;H34,H34-E35,0)</f>
        <v>0</v>
      </c>
      <c r="H35">
        <f>H34+F35-G35</f>
        <v>320</v>
      </c>
      <c r="I35">
        <f>I34+H35*E$31-B35</f>
        <v>8000</v>
      </c>
      <c r="J35">
        <f>I35*J$11</f>
        <v>36000</v>
      </c>
    </row>
    <row r="36" spans="1:10" x14ac:dyDescent="0.2">
      <c r="A36" t="s">
        <v>5</v>
      </c>
      <c r="B36">
        <f>B26</f>
        <v>40000</v>
      </c>
      <c r="C36" s="14">
        <v>32000</v>
      </c>
      <c r="D36">
        <f>H36*E$11</f>
        <v>32000</v>
      </c>
      <c r="E36">
        <f>CEILING(C36/E$11,1)</f>
        <v>320</v>
      </c>
      <c r="F36">
        <f>IF(E36&gt;H35,E36-H35,0)</f>
        <v>0</v>
      </c>
      <c r="G36">
        <f>IF(E36&lt;H35,H35-E36,0)</f>
        <v>0</v>
      </c>
      <c r="H36">
        <f>H35+F36-G36</f>
        <v>320</v>
      </c>
      <c r="I36">
        <f>I35+H36*E$31-B36</f>
        <v>0</v>
      </c>
      <c r="J36">
        <f>I36*J$11</f>
        <v>0</v>
      </c>
    </row>
    <row r="37" spans="1:10" x14ac:dyDescent="0.2">
      <c r="A37" t="s">
        <v>57</v>
      </c>
      <c r="C37">
        <f>SUM(C33:C36)</f>
        <v>120000</v>
      </c>
      <c r="D37">
        <f>SUM(D33:D36)</f>
        <v>120000</v>
      </c>
      <c r="E37" t="s">
        <v>58</v>
      </c>
      <c r="F37">
        <f>SUM(F33:F36)*F31</f>
        <v>80000</v>
      </c>
      <c r="G37">
        <f>SUM(G33:G36)*G31</f>
        <v>0</v>
      </c>
      <c r="I37" t="s">
        <v>59</v>
      </c>
      <c r="J37">
        <f>SUM(J33:J36)</f>
        <v>72000</v>
      </c>
    </row>
    <row r="38" spans="1:10" x14ac:dyDescent="0.2">
      <c r="H38" t="s">
        <v>66</v>
      </c>
      <c r="I38" t="s">
        <v>62</v>
      </c>
      <c r="J38" s="14">
        <f>F37+G37+J37</f>
        <v>152000</v>
      </c>
    </row>
    <row r="40" spans="1:10" x14ac:dyDescent="0.2">
      <c r="C40" s="14" t="s">
        <v>70</v>
      </c>
    </row>
    <row r="41" spans="1:10" x14ac:dyDescent="0.2">
      <c r="C41" s="14" t="s">
        <v>71</v>
      </c>
    </row>
    <row r="43" spans="1:10" x14ac:dyDescent="0.2">
      <c r="C43" s="14" t="s">
        <v>86</v>
      </c>
    </row>
    <row r="44" spans="1:10" x14ac:dyDescent="0.2">
      <c r="C44" s="18" t="s">
        <v>36</v>
      </c>
    </row>
    <row r="45" spans="1:10" x14ac:dyDescent="0.2">
      <c r="C45" s="18" t="s">
        <v>38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90" zoomScaleNormal="90" workbookViewId="0">
      <selection activeCell="C22" sqref="C22"/>
    </sheetView>
  </sheetViews>
  <sheetFormatPr baseColWidth="10" defaultColWidth="8.83203125" defaultRowHeight="15" x14ac:dyDescent="0.2"/>
  <cols>
    <col min="2" max="4" width="11.33203125" customWidth="1"/>
    <col min="5" max="13" width="10.6640625" customWidth="1"/>
  </cols>
  <sheetData>
    <row r="1" spans="1:14" x14ac:dyDescent="0.2">
      <c r="A1" s="4" t="s">
        <v>0</v>
      </c>
      <c r="B1" s="4" t="s">
        <v>1</v>
      </c>
      <c r="E1" s="4" t="s">
        <v>9</v>
      </c>
    </row>
    <row r="2" spans="1:14" x14ac:dyDescent="0.2">
      <c r="A2" s="4" t="s">
        <v>2</v>
      </c>
      <c r="B2" s="2">
        <f>APP!C33</f>
        <v>28000</v>
      </c>
      <c r="D2" s="5" t="s">
        <v>6</v>
      </c>
      <c r="E2" s="3">
        <v>0.4</v>
      </c>
    </row>
    <row r="3" spans="1:14" x14ac:dyDescent="0.2">
      <c r="A3" s="4" t="s">
        <v>3</v>
      </c>
      <c r="B3" s="2">
        <f>APP!C34</f>
        <v>28000</v>
      </c>
      <c r="D3" s="5" t="s">
        <v>8</v>
      </c>
      <c r="E3" s="3">
        <v>0.6</v>
      </c>
    </row>
    <row r="4" spans="1:14" x14ac:dyDescent="0.2">
      <c r="A4" s="4" t="s">
        <v>4</v>
      </c>
      <c r="B4" s="2">
        <f>APP!C35</f>
        <v>32000</v>
      </c>
    </row>
    <row r="5" spans="1:14" x14ac:dyDescent="0.2">
      <c r="A5" s="4" t="s">
        <v>5</v>
      </c>
      <c r="B5" s="2">
        <f>APP!C36</f>
        <v>32000</v>
      </c>
    </row>
    <row r="6" spans="1:14" x14ac:dyDescent="0.2">
      <c r="A6" s="1"/>
      <c r="B6" s="1">
        <f>SUM(B2:B5)</f>
        <v>120000</v>
      </c>
    </row>
    <row r="7" spans="1:14" x14ac:dyDescent="0.2">
      <c r="A7" s="15" t="s">
        <v>78</v>
      </c>
    </row>
    <row r="9" spans="1:14" x14ac:dyDescent="0.2">
      <c r="B9" s="14" t="s">
        <v>79</v>
      </c>
      <c r="C9" s="14"/>
      <c r="D9" s="14"/>
      <c r="E9" s="14" t="s">
        <v>80</v>
      </c>
      <c r="F9" s="14"/>
      <c r="G9" s="14"/>
      <c r="H9" s="14" t="s">
        <v>81</v>
      </c>
      <c r="I9" s="14"/>
      <c r="J9" s="14"/>
      <c r="K9" s="14" t="s">
        <v>81</v>
      </c>
    </row>
    <row r="10" spans="1:14" x14ac:dyDescent="0.2">
      <c r="B10">
        <f>E2*B2</f>
        <v>11200</v>
      </c>
      <c r="E10">
        <f>B3*E2</f>
        <v>11200</v>
      </c>
      <c r="H10">
        <f>E2*B4</f>
        <v>12800</v>
      </c>
      <c r="K10">
        <f>E2*B5</f>
        <v>12800</v>
      </c>
    </row>
    <row r="11" spans="1:14" x14ac:dyDescent="0.2">
      <c r="A11" s="6"/>
      <c r="B11" s="7"/>
      <c r="C11" s="7" t="s">
        <v>2</v>
      </c>
      <c r="D11" s="8"/>
      <c r="E11" s="7"/>
      <c r="F11" s="7" t="s">
        <v>3</v>
      </c>
      <c r="G11" s="8"/>
      <c r="H11" s="7"/>
      <c r="I11" s="7" t="s">
        <v>4</v>
      </c>
      <c r="J11" s="8"/>
      <c r="K11" s="7"/>
      <c r="L11" s="7" t="s">
        <v>5</v>
      </c>
      <c r="M11" s="8"/>
    </row>
    <row r="12" spans="1:14" x14ac:dyDescent="0.2">
      <c r="A12" s="9" t="s">
        <v>6</v>
      </c>
      <c r="B12" s="10" t="s">
        <v>10</v>
      </c>
      <c r="C12" s="10" t="s">
        <v>11</v>
      </c>
      <c r="D12" s="11" t="s">
        <v>12</v>
      </c>
      <c r="E12" s="10" t="s">
        <v>13</v>
      </c>
      <c r="F12" s="10" t="s">
        <v>14</v>
      </c>
      <c r="G12" s="11" t="s">
        <v>15</v>
      </c>
      <c r="H12" s="10" t="s">
        <v>16</v>
      </c>
      <c r="I12" s="10" t="s">
        <v>17</v>
      </c>
      <c r="J12" s="11" t="s">
        <v>18</v>
      </c>
      <c r="K12" s="10" t="s">
        <v>19</v>
      </c>
      <c r="L12" s="10" t="s">
        <v>20</v>
      </c>
      <c r="M12" s="11" t="s">
        <v>21</v>
      </c>
    </row>
    <row r="13" spans="1:14" x14ac:dyDescent="0.2">
      <c r="A13" s="9" t="s">
        <v>7</v>
      </c>
      <c r="B13" s="12">
        <f>CEILING(B$10/3,1)</f>
        <v>3734</v>
      </c>
      <c r="C13" s="12">
        <f>CEILING(B$10/3,1)</f>
        <v>3734</v>
      </c>
      <c r="D13" s="13">
        <f>CEILING(B$10/3,1)</f>
        <v>3734</v>
      </c>
      <c r="E13" s="12">
        <f>CEILING(E$10/3,1)</f>
        <v>3734</v>
      </c>
      <c r="F13" s="12">
        <f>CEILING(E$10/3,1)</f>
        <v>3734</v>
      </c>
      <c r="G13" s="13">
        <f>CEILING(E$10/3,1)</f>
        <v>3734</v>
      </c>
      <c r="H13" s="12">
        <f>CEILING(H$10/3,1)</f>
        <v>4267</v>
      </c>
      <c r="I13" s="12">
        <f>CEILING(H$10/3,1)</f>
        <v>4267</v>
      </c>
      <c r="J13" s="13">
        <f>CEILING(H$10/3,1)</f>
        <v>4267</v>
      </c>
      <c r="K13" s="12">
        <f>CEILING(K$10/3,1)</f>
        <v>4267</v>
      </c>
      <c r="L13" s="12">
        <f>CEILING(K$10/3,1)</f>
        <v>4267</v>
      </c>
      <c r="M13" s="17">
        <f>CEILING(K$10/3,1)-6</f>
        <v>4261</v>
      </c>
      <c r="N13">
        <f>SUM(B13:M13)</f>
        <v>48000</v>
      </c>
    </row>
    <row r="14" spans="1:14" x14ac:dyDescent="0.2">
      <c r="A14" s="1"/>
      <c r="B14" s="15" t="s">
        <v>82</v>
      </c>
      <c r="C14" s="1"/>
      <c r="D14" s="1"/>
      <c r="E14" s="1"/>
      <c r="F14" s="1"/>
      <c r="G14" s="1"/>
      <c r="H14" s="1"/>
      <c r="I14" s="1"/>
      <c r="J14" s="1"/>
      <c r="K14" s="1"/>
      <c r="L14" s="1"/>
      <c r="M14" s="1"/>
    </row>
    <row r="15" spans="1:14" x14ac:dyDescent="0.2">
      <c r="B15" s="14" t="s">
        <v>85</v>
      </c>
    </row>
    <row r="16" spans="1:14" x14ac:dyDescent="0.2">
      <c r="A16" s="1"/>
      <c r="B16" s="1">
        <f>B2*E3</f>
        <v>16800</v>
      </c>
      <c r="C16" s="1"/>
      <c r="D16" s="1"/>
      <c r="E16" s="1">
        <f>E3*B3</f>
        <v>16800</v>
      </c>
      <c r="F16" s="1"/>
      <c r="G16" s="1"/>
      <c r="H16" s="1">
        <f>E3*B4</f>
        <v>19200</v>
      </c>
      <c r="I16" s="1"/>
      <c r="J16" s="1"/>
      <c r="K16" s="1">
        <f>E3*B5</f>
        <v>19200</v>
      </c>
      <c r="L16" s="1"/>
      <c r="M16" s="1"/>
    </row>
    <row r="17" spans="1:14" x14ac:dyDescent="0.2">
      <c r="A17" s="6"/>
      <c r="B17" s="7"/>
      <c r="C17" s="7" t="s">
        <v>2</v>
      </c>
      <c r="D17" s="8"/>
      <c r="E17" s="7"/>
      <c r="F17" s="7" t="s">
        <v>3</v>
      </c>
      <c r="G17" s="8"/>
      <c r="H17" s="7"/>
      <c r="I17" s="7" t="s">
        <v>4</v>
      </c>
      <c r="J17" s="8"/>
      <c r="K17" s="7"/>
      <c r="L17" s="7" t="s">
        <v>5</v>
      </c>
      <c r="M17" s="8"/>
    </row>
    <row r="18" spans="1:14" x14ac:dyDescent="0.2">
      <c r="A18" s="9" t="s">
        <v>8</v>
      </c>
      <c r="B18" s="10" t="s">
        <v>10</v>
      </c>
      <c r="C18" s="10" t="s">
        <v>11</v>
      </c>
      <c r="D18" s="11" t="s">
        <v>12</v>
      </c>
      <c r="E18" s="10" t="s">
        <v>13</v>
      </c>
      <c r="F18" s="10" t="s">
        <v>14</v>
      </c>
      <c r="G18" s="11" t="s">
        <v>15</v>
      </c>
      <c r="H18" s="10" t="s">
        <v>16</v>
      </c>
      <c r="I18" s="10" t="s">
        <v>17</v>
      </c>
      <c r="J18" s="11" t="s">
        <v>18</v>
      </c>
      <c r="K18" s="10" t="s">
        <v>19</v>
      </c>
      <c r="L18" s="10" t="s">
        <v>20</v>
      </c>
      <c r="M18" s="11" t="s">
        <v>21</v>
      </c>
    </row>
    <row r="19" spans="1:14" x14ac:dyDescent="0.2">
      <c r="A19" s="9" t="s">
        <v>7</v>
      </c>
      <c r="B19" s="12">
        <f>B$16/3</f>
        <v>5600</v>
      </c>
      <c r="C19" s="12">
        <f>B$16/3</f>
        <v>5600</v>
      </c>
      <c r="D19" s="13">
        <f>B$16/3</f>
        <v>5600</v>
      </c>
      <c r="E19" s="12">
        <f>E$16/3</f>
        <v>5600</v>
      </c>
      <c r="F19" s="12">
        <f>E$16/3</f>
        <v>5600</v>
      </c>
      <c r="G19" s="13">
        <f>E$16/3</f>
        <v>5600</v>
      </c>
      <c r="H19" s="12">
        <f>H$16/3</f>
        <v>6400</v>
      </c>
      <c r="I19" s="12">
        <f>H$16/3</f>
        <v>6400</v>
      </c>
      <c r="J19" s="13">
        <f>H$16/3</f>
        <v>6400</v>
      </c>
      <c r="K19" s="12">
        <f>K$16/3</f>
        <v>6400</v>
      </c>
      <c r="L19" s="12">
        <f>K$16/3</f>
        <v>6400</v>
      </c>
      <c r="M19" s="13">
        <f>K$16/3</f>
        <v>6400</v>
      </c>
      <c r="N19">
        <f>SUM(B19:M19)</f>
        <v>72000</v>
      </c>
    </row>
    <row r="20" spans="1:14" x14ac:dyDescent="0.2">
      <c r="B20" s="14" t="s">
        <v>83</v>
      </c>
    </row>
    <row r="21" spans="1:14" x14ac:dyDescent="0.2">
      <c r="N21" s="14">
        <f>SUM(N13,N19)</f>
        <v>120000</v>
      </c>
    </row>
    <row r="22" spans="1:14" x14ac:dyDescent="0.2">
      <c r="N22" s="16" t="s">
        <v>84</v>
      </c>
    </row>
    <row r="24" spans="1:14" x14ac:dyDescent="0.2">
      <c r="C24" s="14" t="s">
        <v>86</v>
      </c>
    </row>
    <row r="25" spans="1:14" x14ac:dyDescent="0.2">
      <c r="C25" s="18" t="s">
        <v>87</v>
      </c>
    </row>
    <row r="26" spans="1:14" x14ac:dyDescent="0.2">
      <c r="C26" s="18" t="s">
        <v>88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Forecast</vt:lpstr>
      <vt:lpstr>APP</vt:lpstr>
      <vt:lpstr>MPS</vt:lpstr>
    </vt:vector>
  </TitlesOfParts>
  <Company>East Carolina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Kros, John</cp:lastModifiedBy>
  <dcterms:created xsi:type="dcterms:W3CDTF">2014-10-01T14:33:32Z</dcterms:created>
  <dcterms:modified xsi:type="dcterms:W3CDTF">2020-09-10T16:50:13Z</dcterms:modified>
</cp:coreProperties>
</file>